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<sst xmlns="http://schemas.openxmlformats.org/spreadsheetml/2006/main" count="517" uniqueCount="234">
  <si>
    <t>Прайс-лист</t>
  </si>
  <si>
    <t>ООО А/ф"Наш сад"</t>
  </si>
  <si>
    <t>Г00000002</t>
  </si>
  <si>
    <t>В валютах цен.</t>
  </si>
  <si>
    <t>Цены указаны на 28.01.2019</t>
  </si>
  <si>
    <t>Ценовая группа/ Номенклатура/ Характеристика номенклатуры</t>
  </si>
  <si>
    <t>Номенклатура.Код</t>
  </si>
  <si>
    <t>Оптовые/000000002</t>
  </si>
  <si>
    <t>Заказ</t>
  </si>
  <si>
    <t>Ссылка на</t>
  </si>
  <si>
    <t>Цена</t>
  </si>
  <si>
    <t>Ед.</t>
  </si>
  <si>
    <t>кол-во</t>
  </si>
  <si>
    <t>сумма руб.</t>
  </si>
  <si>
    <t>Сайт</t>
  </si>
  <si>
    <t xml:space="preserve">    Клубнелуковичные</t>
  </si>
  <si>
    <t xml:space="preserve">        клубнелуковицы цветов (импорт)</t>
  </si>
  <si>
    <t xml:space="preserve">            Бегония</t>
  </si>
  <si>
    <t>упак</t>
  </si>
  <si>
    <t xml:space="preserve">                Одората 6+</t>
  </si>
  <si>
    <t xml:space="preserve">                Самба махровая трубчатая 3 шт</t>
  </si>
  <si>
    <t xml:space="preserve">            Георгины</t>
  </si>
  <si>
    <t xml:space="preserve">                Блэк Диамонд шаровидн. 1 шт </t>
  </si>
  <si>
    <t xml:space="preserve">                Бора бора 1 шт малин-желт</t>
  </si>
  <si>
    <t xml:space="preserve">                Вассио меггос 1 шт </t>
  </si>
  <si>
    <t xml:space="preserve">                Голд кроун кактус 1 шт желт</t>
  </si>
  <si>
    <t xml:space="preserve">                Дуэт Декоративная 1 шт красн-бел</t>
  </si>
  <si>
    <t xml:space="preserve">                Еллен Хьюстон лилипут 1шт.</t>
  </si>
  <si>
    <t xml:space="preserve">                Каннемерлэнд кактус желт 1 шт</t>
  </si>
  <si>
    <t xml:space="preserve">                Карма чок Декоративная 1 шт </t>
  </si>
  <si>
    <t xml:space="preserve">                Классик елизе Миньон1 шт оранж-желт,красный лист</t>
  </si>
  <si>
    <t xml:space="preserve">                Клер обскур 1 шт красно-белый</t>
  </si>
  <si>
    <t xml:space="preserve">                Линдсей Мишель 1шт.</t>
  </si>
  <si>
    <t xml:space="preserve">                Литтл Вильям Помпонн 1 шт красн-желт</t>
  </si>
  <si>
    <t xml:space="preserve">                Май лав кактус 1 шт белый</t>
  </si>
  <si>
    <t xml:space="preserve">                Ненекаси 1 шт пурп светло-роз</t>
  </si>
  <si>
    <t xml:space="preserve">                Несцио Помпонн 1 шт красн</t>
  </si>
  <si>
    <t xml:space="preserve">                Орион Декоративная 1 шт бело-гол</t>
  </si>
  <si>
    <t xml:space="preserve">                Петрас Веддинг помпон 1 шт</t>
  </si>
  <si>
    <t xml:space="preserve">                Плайа бланка Лилипут 1 шт белый</t>
  </si>
  <si>
    <t xml:space="preserve">                Сайнт Саенс 1шт . желт/красн</t>
  </si>
  <si>
    <t xml:space="preserve">                Сандра  Декоративная 1шт </t>
  </si>
  <si>
    <t xml:space="preserve">                Сандра шаровид. темно-рзовый 1шт.</t>
  </si>
  <si>
    <t xml:space="preserve">                Сити оф лейден Лилипут 1 шт</t>
  </si>
  <si>
    <t xml:space="preserve">                Сноу кантри Декоративная бел 1 шт </t>
  </si>
  <si>
    <t xml:space="preserve">                Стратос Декоративная 1 шт </t>
  </si>
  <si>
    <t xml:space="preserve">                Сувенир д`Эт шаровидн.1 шт.</t>
  </si>
  <si>
    <t xml:space="preserve">                Тейбл дансер кактус 1 шт</t>
  </si>
  <si>
    <t xml:space="preserve">                Топмикс Оранж Лилипут 1 шт </t>
  </si>
  <si>
    <t xml:space="preserve">                Фаер энд айс Миньон1 шт </t>
  </si>
  <si>
    <t xml:space="preserve">                Фёст лав Миньон1 шт </t>
  </si>
  <si>
    <t xml:space="preserve">                Форрестел кактус 1 шт</t>
  </si>
  <si>
    <t xml:space="preserve">                Фрикуолет кактус 1 шт </t>
  </si>
  <si>
    <t>Кор</t>
  </si>
  <si>
    <t xml:space="preserve">            Гладиолусы</t>
  </si>
  <si>
    <t xml:space="preserve">                Кавказ 10 шт .12+</t>
  </si>
  <si>
    <t xml:space="preserve">                Пассос 10 шт лиловый 14+</t>
  </si>
  <si>
    <t xml:space="preserve">                Пинк Пэррот 10 шт .лил/роз14+</t>
  </si>
  <si>
    <t xml:space="preserve">                Пурпл флора 10 шт пурп 14+</t>
  </si>
  <si>
    <t xml:space="preserve">                Роуз суприм 10 шт .14+</t>
  </si>
  <si>
    <t xml:space="preserve">                смесь 5 шт 12+</t>
  </si>
  <si>
    <t xml:space="preserve">                Солист 10шт 14/+</t>
  </si>
  <si>
    <t xml:space="preserve">                Тереза 10 шт розовый 14+</t>
  </si>
  <si>
    <t xml:space="preserve">                Фемм фаталь 10 шт  14+</t>
  </si>
  <si>
    <t xml:space="preserve">                Эльвив 10 шт 14+</t>
  </si>
  <si>
    <t xml:space="preserve">            Глоксиния</t>
  </si>
  <si>
    <t xml:space="preserve">                Кайзер Вильгельм 3 шт. 5+</t>
  </si>
  <si>
    <t xml:space="preserve">                Кайзер Фридрих 3 шт. 5+</t>
  </si>
  <si>
    <t xml:space="preserve">                Монт бланк 3шт. 5+</t>
  </si>
  <si>
    <t xml:space="preserve">                Этойле де Флю 3 шт. 5+</t>
  </si>
  <si>
    <t xml:space="preserve">            Калла</t>
  </si>
  <si>
    <t xml:space="preserve">                Акелла16/+ 1шт</t>
  </si>
  <si>
    <t xml:space="preserve">                АЛЬБОМАКУЛАТА 18/+ 1шт белая</t>
  </si>
  <si>
    <t xml:space="preserve">                Кантор 16/+ 1шт</t>
  </si>
  <si>
    <t xml:space="preserve">                Пэшн 16/+ 1шт</t>
  </si>
  <si>
    <t xml:space="preserve">            КРОКОСМИЯ</t>
  </si>
  <si>
    <t xml:space="preserve">                Джорж Дэвидсон 8+ 15 шт</t>
  </si>
  <si>
    <t>п/эт ц/п</t>
  </si>
  <si>
    <t xml:space="preserve">                ЛЮЦИФЕР 10+ 10 шт</t>
  </si>
  <si>
    <t xml:space="preserve">                Мистраль 10+ 10 шт</t>
  </si>
  <si>
    <t xml:space="preserve">                Эмели Маккензи 6+ 15 шт</t>
  </si>
  <si>
    <t xml:space="preserve">            Лилии</t>
  </si>
  <si>
    <t xml:space="preserve">                Аламоса ОТ розовая 18/20</t>
  </si>
  <si>
    <t>шт</t>
  </si>
  <si>
    <t xml:space="preserve">                Албуфейра ЛА светло-роз 12/14</t>
  </si>
  <si>
    <t xml:space="preserve">                Аматерас 14/16</t>
  </si>
  <si>
    <t xml:space="preserve">                Арбатакс темно-роз ЛА 12/14</t>
  </si>
  <si>
    <t xml:space="preserve">                Аргос 14/16</t>
  </si>
  <si>
    <t xml:space="preserve">                Аркашон бел.ЛА 12/14</t>
  </si>
  <si>
    <t xml:space="preserve">                Армандэль ЛА 14/16</t>
  </si>
  <si>
    <t xml:space="preserve">                Аутбэк желт ОТ 14/16</t>
  </si>
  <si>
    <t xml:space="preserve">                Бакарди Вост красн. 22/24</t>
  </si>
  <si>
    <t xml:space="preserve">                Барута ОТ желт. 20/22</t>
  </si>
  <si>
    <t xml:space="preserve">                Бач ЛА белая 14/16</t>
  </si>
  <si>
    <t xml:space="preserve">                Бельвилль ОТ желт 16/18</t>
  </si>
  <si>
    <t xml:space="preserve">                Бербиано нежно лавндов. розов. 16/18</t>
  </si>
  <si>
    <t xml:space="preserve">                Беу солейл желт  ЛА 14/16</t>
  </si>
  <si>
    <t xml:space="preserve">                Биг Бразер желт ОТ 20/22</t>
  </si>
  <si>
    <t xml:space="preserve">                Бомбастик 16/18</t>
  </si>
  <si>
    <t xml:space="preserve">                Бонсуар оранж ЛА 12/14</t>
  </si>
  <si>
    <t xml:space="preserve">                Боррелло Вост 14/16</t>
  </si>
  <si>
    <t xml:space="preserve">                Боррелло Вост 22/24</t>
  </si>
  <si>
    <t xml:space="preserve">                Боул оф бьюти белая 12/14</t>
  </si>
  <si>
    <t xml:space="preserve">                Бугатти ЛА 14/16</t>
  </si>
  <si>
    <t xml:space="preserve">                Буззер АЗ вишневая горш 14/16</t>
  </si>
  <si>
    <t xml:space="preserve">                Бурана Восточ. роз.с бел. 18/20</t>
  </si>
  <si>
    <t xml:space="preserve">                Бурлингтоун жел ЛА 14/16</t>
  </si>
  <si>
    <t xml:space="preserve">                Бьюти тренд махр розов 14/16</t>
  </si>
  <si>
    <t xml:space="preserve">                Бьюти тренд махр розов 16/18</t>
  </si>
  <si>
    <t xml:space="preserve">                Ватч ап трубч. 20/22</t>
  </si>
  <si>
    <t xml:space="preserve">                Гаучо красно белая ОТ 16/18</t>
  </si>
  <si>
    <t xml:space="preserve">                Генерал Ли АЗ 16/18</t>
  </si>
  <si>
    <t xml:space="preserve">                Гензано ОТ 20/22</t>
  </si>
  <si>
    <t xml:space="preserve">                Грация Розов. Вост 14/16</t>
  </si>
  <si>
    <t xml:space="preserve">                Далиан ОТ розов 18/20</t>
  </si>
  <si>
    <t xml:space="preserve">                Джоао пессао Желт. с крапом АЗ горш 14/16</t>
  </si>
  <si>
    <t xml:space="preserve">                Джоми ЛА 14/16</t>
  </si>
  <si>
    <t xml:space="preserve">                Джуп 22/24</t>
  </si>
  <si>
    <t xml:space="preserve">                ДжУстина зантриус вост 16/18</t>
  </si>
  <si>
    <t xml:space="preserve">                Динамикс красная ЛА 12/14</t>
  </si>
  <si>
    <t xml:space="preserve">                Донасьон ОТ 20/22</t>
  </si>
  <si>
    <t xml:space="preserve">                Донато Розов. ОТ 16/18</t>
  </si>
  <si>
    <t xml:space="preserve">                Еллоуин* насыщенно-желтая ОТ 14/16</t>
  </si>
  <si>
    <t xml:space="preserve">                Замбези ОТ белая 16/18</t>
  </si>
  <si>
    <t xml:space="preserve">                Замбези ОТ белая 20/22</t>
  </si>
  <si>
    <t xml:space="preserve">                Занела ЛА 12/14</t>
  </si>
  <si>
    <t xml:space="preserve">                Импрато темно-розов ОТ 16/18</t>
  </si>
  <si>
    <t xml:space="preserve">                Индиан самерсет ЛА розов 12/14</t>
  </si>
  <si>
    <t xml:space="preserve">                Индиан самерсет ЛА розов 18/20</t>
  </si>
  <si>
    <t xml:space="preserve">                Индиана Вост крас. 16/18</t>
  </si>
  <si>
    <t xml:space="preserve">                Индиана Вост крас. 18/20</t>
  </si>
  <si>
    <t xml:space="preserve">                Йерсеке  ЛА 14/16</t>
  </si>
  <si>
    <t xml:space="preserve">                Камсберг ЛА-гибрид 14/16</t>
  </si>
  <si>
    <t xml:space="preserve">                Карбонеро ОТ темно-вишнев 16/18</t>
  </si>
  <si>
    <t xml:space="preserve">                Карбонеро ОТ темно-вишнев 22/24</t>
  </si>
  <si>
    <t xml:space="preserve">                Катина ОТ бел лепест. с желт.центр 16/18</t>
  </si>
  <si>
    <t xml:space="preserve">                Кашарель 14/16</t>
  </si>
  <si>
    <t xml:space="preserve">                Кингсвиль ЛА 14/16</t>
  </si>
  <si>
    <t xml:space="preserve">                Коларес красная ЛА 14/16</t>
  </si>
  <si>
    <t xml:space="preserve">                Коммоушн ОТ- гибрид 16/18</t>
  </si>
  <si>
    <t xml:space="preserve">                Конка Ди'ор* желт ОТ 16/18</t>
  </si>
  <si>
    <t xml:space="preserve">                Конка Ди'ор* желт ОТ 22/24</t>
  </si>
  <si>
    <t xml:space="preserve">                Корвара  темн-красн Вост 18/20</t>
  </si>
  <si>
    <t xml:space="preserve">                Корлеоне ла красная 14/16</t>
  </si>
  <si>
    <t xml:space="preserve">                Кристал Бланка Вост белая 14/16</t>
  </si>
  <si>
    <t xml:space="preserve">                Кристал Бланка Вост белая 22/24</t>
  </si>
  <si>
    <t xml:space="preserve">                Кураж ОТ 18/20</t>
  </si>
  <si>
    <t xml:space="preserve">                Ла Манча Вост. темн.роз 16/18</t>
  </si>
  <si>
    <t xml:space="preserve">                Ландини New! черная Аз 14/16</t>
  </si>
  <si>
    <t xml:space="preserve">                Ландини New! черная Аз 16/18</t>
  </si>
  <si>
    <t xml:space="preserve">                    ----//----</t>
  </si>
  <si>
    <t xml:space="preserve">                Литоуин Ла-гибрид белая 12/14</t>
  </si>
  <si>
    <t xml:space="preserve">                Лондон Херт Аз красная 14/16</t>
  </si>
  <si>
    <t xml:space="preserve">                Лукка ЛА 14/16</t>
  </si>
  <si>
    <t xml:space="preserve">                Малдано ОТ розов 16/18</t>
  </si>
  <si>
    <t xml:space="preserve">                Малеско желт ЛА 14/16</t>
  </si>
  <si>
    <t xml:space="preserve">                Мандалай бэй розов ЛА 14/16</t>
  </si>
  <si>
    <t xml:space="preserve">                Манисса АЗ 16/18</t>
  </si>
  <si>
    <t xml:space="preserve">                Марлон ВОСТ.роз.14/16</t>
  </si>
  <si>
    <t xml:space="preserve">                МАРТАГОНЫ,смесь 3шт 16/18</t>
  </si>
  <si>
    <t xml:space="preserve">                Масай ЛА 22/24</t>
  </si>
  <si>
    <t xml:space="preserve">                Менорка желт-роз ЛА 14/16</t>
  </si>
  <si>
    <t xml:space="preserve">                Мерлет New!Ла лил-розов 14/16</t>
  </si>
  <si>
    <t xml:space="preserve">                Метрополитен  темн-красн Вост 18/20</t>
  </si>
  <si>
    <t xml:space="preserve">                Монтенью Вост белая 12/14</t>
  </si>
  <si>
    <t xml:space="preserve">                Мускат ОТ розов. 22/24</t>
  </si>
  <si>
    <t xml:space="preserve">                Наоми классик Розовая Вост 16/18</t>
  </si>
  <si>
    <t xml:space="preserve">                Нашвиле Ла желт 14/16</t>
  </si>
  <si>
    <t xml:space="preserve">                Нашвиле Ла желт 22/24</t>
  </si>
  <si>
    <t xml:space="preserve">                Нелло Аз оранж 12/14</t>
  </si>
  <si>
    <t xml:space="preserve">                Оппортунити 14/16</t>
  </si>
  <si>
    <t xml:space="preserve">                ОР 14-08 16/18</t>
  </si>
  <si>
    <t xml:space="preserve">                Оранж Арт АЗ 16/18</t>
  </si>
  <si>
    <t xml:space="preserve">                Оригинал лав Ла красн 12/14</t>
  </si>
  <si>
    <t xml:space="preserve">                Паррано ЛА 14/16</t>
  </si>
  <si>
    <t xml:space="preserve">                Пинк браш ЛА 16/18</t>
  </si>
  <si>
    <t xml:space="preserve">                Премиум блонд вост. 22/24</t>
  </si>
  <si>
    <t xml:space="preserve">                Профундо розов. 20/22</t>
  </si>
  <si>
    <t xml:space="preserve">                Ред рок ЛА красная 12/14</t>
  </si>
  <si>
    <t xml:space="preserve">                Рио де женейро 14/16</t>
  </si>
  <si>
    <t xml:space="preserve">                Ричмонд Ла бел 12/14</t>
  </si>
  <si>
    <t xml:space="preserve">                Робина*  ОТ пурпурно-розовая 14/16</t>
  </si>
  <si>
    <t xml:space="preserve">                Робина* ОТ пурпурно-розовая 16/18</t>
  </si>
  <si>
    <t xml:space="preserve">                Робина* пурпурно-розовая ОТ 18/20</t>
  </si>
  <si>
    <t xml:space="preserve">                Робина* пурпурно-розовая ОТ 22/24</t>
  </si>
  <si>
    <t xml:space="preserve">                Розалин 14/16</t>
  </si>
  <si>
    <t xml:space="preserve">                Самбука ОТ-гибрид 14/16</t>
  </si>
  <si>
    <t xml:space="preserve">                Сандью желт ЛА 12/14</t>
  </si>
  <si>
    <t xml:space="preserve">                Сантандер Белая Вост 14/16</t>
  </si>
  <si>
    <t xml:space="preserve">                Свит валлей ЛА 12/14</t>
  </si>
  <si>
    <t xml:space="preserve">                Свит заница 12/14</t>
  </si>
  <si>
    <t xml:space="preserve">                Свит шугар ЛА-гибрид 12/14</t>
  </si>
  <si>
    <t xml:space="preserve">                Силт АЗ 12/14</t>
  </si>
  <si>
    <t xml:space="preserve">                Силт АЗ 18/20</t>
  </si>
  <si>
    <t xml:space="preserve">                Сорбонне Вост роз 14/16</t>
  </si>
  <si>
    <t xml:space="preserve">                Сорокаба Розовая АЗ горш 14/16</t>
  </si>
  <si>
    <t xml:space="preserve">                Старлайт экспрес крас с бел Вост горш 12/14</t>
  </si>
  <si>
    <t xml:space="preserve">                Старфайтер* красн с бел крап Вост 12/14</t>
  </si>
  <si>
    <t xml:space="preserve">                Старфайтер* красн с бел крап Вост 16/18</t>
  </si>
  <si>
    <t xml:space="preserve">                Стравберри энд крим белая Аз 14/16</t>
  </si>
  <si>
    <t xml:space="preserve">                Сципион желт.ЛА 14/16</t>
  </si>
  <si>
    <t xml:space="preserve">                Табледенс ОТ корал-роз. с бел.14/16</t>
  </si>
  <si>
    <t xml:space="preserve">                Табледенс ОТ корал-роз. с бел.22/24</t>
  </si>
  <si>
    <t xml:space="preserve">                Тачстоун ОТ 12/14</t>
  </si>
  <si>
    <t xml:space="preserve">                Тачстоун ОТ 22/24</t>
  </si>
  <si>
    <t xml:space="preserve">                Террасол ОТ 18/20</t>
  </si>
  <si>
    <t xml:space="preserve">                Террасол ОТ 22/24</t>
  </si>
  <si>
    <t xml:space="preserve">                Уайт Айз ОТ-гибрид 22/24</t>
  </si>
  <si>
    <t xml:space="preserve">                Уайт Пиксел* Аз ТАНГО белый с крапом по цент14/16</t>
  </si>
  <si>
    <t xml:space="preserve">                Уайт Триумф* белый ЛО 16/18</t>
  </si>
  <si>
    <t xml:space="preserve">                Уайт Хевен  бел ЛО 14/16</t>
  </si>
  <si>
    <t xml:space="preserve">                Фанжио* кра-мал Ла 14/16</t>
  </si>
  <si>
    <t xml:space="preserve">                Фастрада ОТ белая 16/18</t>
  </si>
  <si>
    <t xml:space="preserve">                Фиамма АЗ оранж 14/16</t>
  </si>
  <si>
    <t xml:space="preserve">                Флешпоинт ОТ красн сбел ободком 22/24</t>
  </si>
  <si>
    <t xml:space="preserve">                Форевер ОТ гибр белая 16/18</t>
  </si>
  <si>
    <t xml:space="preserve">                Форза рэд красн.Ла 14/16</t>
  </si>
  <si>
    <t xml:space="preserve">                Фризо крас с бел  ОТ 18/20</t>
  </si>
  <si>
    <t xml:space="preserve">                Фуджиан ОТ 16/18</t>
  </si>
  <si>
    <t xml:space="preserve">                Хайд парк ЛА-гибрид 14/16</t>
  </si>
  <si>
    <t xml:space="preserve">                Хонести ЛА оранж 14/16</t>
  </si>
  <si>
    <t xml:space="preserve">                Шайн он от-гибрид 14/16</t>
  </si>
  <si>
    <t xml:space="preserve">                Эйлинир белая ЛА 12/14</t>
  </si>
  <si>
    <t xml:space="preserve">                Эл диво желт Ла 14/16</t>
  </si>
  <si>
    <t xml:space="preserve">                Элдорет ОТ-гибрид желт 18/20</t>
  </si>
  <si>
    <t xml:space="preserve">                Эрколано неж-бел ЛА 12/14</t>
  </si>
  <si>
    <t xml:space="preserve">            Пионы</t>
  </si>
  <si>
    <t xml:space="preserve">                Бакки ред 1 шт. </t>
  </si>
  <si>
    <t xml:space="preserve">                Еллоу Кроун 1шт</t>
  </si>
  <si>
    <t xml:space="preserve">                Мадам Эмиль Дебатен 1шт</t>
  </si>
  <si>
    <t xml:space="preserve">                Пёрпл Спайдер 1шт.</t>
  </si>
  <si>
    <t xml:space="preserve">                Ширли темпл 1шт.</t>
  </si>
  <si>
    <t>Итого</t>
  </si>
  <si>
    <t>руб.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</si>
</sst>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00;[RED]\-00000000000"/>
    <numFmt numFmtId="166" formatCode="0.00&quot; руб.&quot;"/>
  </numFmts>
  <fonts count="8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 vertical="top" wrapText="1"/>
    </xf>
    <xf numFmtId="164" fontId="0" fillId="0" borderId="1" xfId="0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right" vertical="top" wrapText="1"/>
    </xf>
    <xf numFmtId="164" fontId="0" fillId="6" borderId="1" xfId="0" applyNumberFormat="1" applyFont="1" applyFill="1" applyBorder="1" applyAlignment="1">
      <alignment horizontal="left" vertical="top" wrapText="1"/>
    </xf>
    <xf numFmtId="165" fontId="0" fillId="6" borderId="1" xfId="0" applyNumberFormat="1" applyFont="1" applyFill="1" applyBorder="1" applyAlignment="1">
      <alignment horizontal="left" vertical="top" wrapText="1"/>
    </xf>
    <xf numFmtId="166" fontId="0" fillId="6" borderId="1" xfId="0" applyNumberFormat="1" applyFont="1" applyFill="1" applyBorder="1" applyAlignment="1">
      <alignment horizontal="right" vertical="top" wrapText="1"/>
    </xf>
    <xf numFmtId="164" fontId="0" fillId="6" borderId="1" xfId="0" applyNumberFormat="1" applyFont="1" applyFill="1" applyBorder="1" applyAlignment="1">
      <alignment horizontal="right" vertical="top" wrapText="1"/>
    </xf>
    <xf numFmtId="164" fontId="0" fillId="0" borderId="1" xfId="0" applyFont="1" applyBorder="1" applyAlignment="1" applyProtection="1">
      <alignment horizontal="left"/>
      <protection locked="0"/>
    </xf>
    <xf numFmtId="164" fontId="0" fillId="7" borderId="1" xfId="0" applyNumberFormat="1" applyFont="1" applyFill="1" applyBorder="1" applyAlignment="1">
      <alignment horizontal="left" vertical="top" wrapText="1"/>
    </xf>
    <xf numFmtId="164" fontId="0" fillId="7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AFAFA"/>
      <rgbColor rgb="00E6E6E6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1"/>
  <sheetViews>
    <sheetView tabSelected="1" workbookViewId="0" topLeftCell="A1">
      <selection activeCell="A1" sqref="A1"/>
    </sheetView>
  </sheetViews>
  <sheetFormatPr defaultColWidth="10.66015625" defaultRowHeight="11.25" outlineLevelRow="5"/>
  <cols>
    <col min="1" max="1" width="1.171875" style="1" customWidth="1"/>
    <col min="2" max="2" width="51.16015625" style="1" customWidth="1"/>
    <col min="3" max="4" width="16" style="1" customWidth="1"/>
    <col min="5" max="6" width="7.83203125" style="1" customWidth="1"/>
    <col min="7" max="7" width="12.16015625" style="1" customWidth="1"/>
    <col min="8" max="8" width="46.83203125" style="1" customWidth="1"/>
    <col min="9" max="9" width="12.16015625" style="1" customWidth="1"/>
    <col min="10" max="10" width="46.83203125" style="1" customWidth="1"/>
    <col min="11" max="11" width="10.33203125" style="1" customWidth="1"/>
    <col min="12" max="12" width="3.5" style="1" customWidth="1"/>
    <col min="13" max="13" width="51.16015625" style="1" customWidth="1"/>
    <col min="14" max="14" width="16" style="1" customWidth="1"/>
    <col min="15" max="15" width="14.5" style="1" customWidth="1"/>
    <col min="16" max="16" width="16" style="1" customWidth="1"/>
    <col min="17" max="17" width="7.83203125" style="1" customWidth="1"/>
    <col min="18" max="18" width="14.5" style="1" customWidth="1"/>
    <col min="19" max="20" width="10.33203125" style="1" customWidth="1"/>
  </cols>
  <sheetData>
    <row r="1" spans="1:20" ht="45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2.75">
      <c r="A2" s="3"/>
      <c r="B2" s="4"/>
      <c r="C2" s="5"/>
      <c r="D2" s="5"/>
      <c r="E2" s="5"/>
      <c r="F2" s="5"/>
      <c r="G2" s="5"/>
      <c r="H2"/>
      <c r="I2"/>
      <c r="J2"/>
      <c r="K2"/>
      <c r="L2" s="3"/>
      <c r="M2" s="4"/>
      <c r="N2" s="5"/>
      <c r="O2" s="5"/>
      <c r="P2" s="5"/>
      <c r="Q2" s="5"/>
      <c r="R2" s="5"/>
      <c r="S2"/>
      <c r="T2"/>
    </row>
    <row r="3" spans="1:20" ht="18.75">
      <c r="A3" s="3"/>
      <c r="B3" s="6" t="s">
        <v>1</v>
      </c>
      <c r="C3" s="7" t="s">
        <v>2</v>
      </c>
      <c r="D3" s="5"/>
      <c r="E3" s="5"/>
      <c r="F3" s="5"/>
      <c r="G3" s="5"/>
      <c r="H3"/>
      <c r="I3"/>
      <c r="J3"/>
      <c r="K3"/>
      <c r="L3" s="3"/>
      <c r="M3" s="6"/>
      <c r="N3" s="5"/>
      <c r="O3" s="5"/>
      <c r="P3" s="5"/>
      <c r="Q3" s="5"/>
      <c r="R3" s="5"/>
      <c r="S3"/>
      <c r="T3"/>
    </row>
    <row r="4" spans="1:18" s="9" customFormat="1" ht="12.75">
      <c r="A4" s="8"/>
      <c r="B4" s="4"/>
      <c r="C4" s="5"/>
      <c r="D4" s="5"/>
      <c r="E4" s="5"/>
      <c r="F4" s="5"/>
      <c r="G4" s="5"/>
      <c r="L4" s="8"/>
      <c r="M4" s="4"/>
      <c r="N4" s="5"/>
      <c r="O4" s="5"/>
      <c r="P4" s="5"/>
      <c r="Q4" s="5"/>
      <c r="R4" s="5"/>
    </row>
    <row r="5" spans="1:18" s="9" customFormat="1" ht="12.75">
      <c r="A5" s="8"/>
      <c r="B5" s="4" t="s">
        <v>3</v>
      </c>
      <c r="C5" s="5"/>
      <c r="D5" s="5"/>
      <c r="E5" s="5"/>
      <c r="F5" s="5"/>
      <c r="G5" s="5"/>
      <c r="L5" s="8"/>
      <c r="M5" s="4"/>
      <c r="N5" s="5"/>
      <c r="O5" s="5"/>
      <c r="P5" s="5"/>
      <c r="Q5" s="5"/>
      <c r="R5" s="5"/>
    </row>
    <row r="6" spans="1:18" s="9" customFormat="1" ht="12.75">
      <c r="A6" s="8"/>
      <c r="B6" s="4" t="s">
        <v>4</v>
      </c>
      <c r="C6" s="5"/>
      <c r="D6" s="5"/>
      <c r="E6" s="5"/>
      <c r="F6" s="5"/>
      <c r="G6" s="5"/>
      <c r="L6" s="8"/>
      <c r="M6" s="4"/>
      <c r="N6" s="5"/>
      <c r="O6" s="5"/>
      <c r="P6" s="5"/>
      <c r="Q6" s="5"/>
      <c r="R6" s="5"/>
    </row>
    <row r="7" spans="1:18" s="9" customFormat="1" ht="12.75">
      <c r="A7" s="8"/>
      <c r="B7" s="4"/>
      <c r="C7" s="5"/>
      <c r="D7" s="5"/>
      <c r="E7" s="5"/>
      <c r="F7" s="5"/>
      <c r="G7" s="5"/>
      <c r="L7" s="8"/>
      <c r="M7" s="4"/>
      <c r="N7" s="5"/>
      <c r="O7" s="5"/>
      <c r="P7" s="5"/>
      <c r="Q7" s="5"/>
      <c r="R7" s="5"/>
    </row>
    <row r="8" s="1" customFormat="1" ht="12.75"/>
    <row r="9" spans="2:8" s="1" customFormat="1" ht="14.25" customHeight="1">
      <c r="B9" s="10" t="s">
        <v>5</v>
      </c>
      <c r="C9" s="11" t="s">
        <v>6</v>
      </c>
      <c r="D9" s="11" t="s">
        <v>7</v>
      </c>
      <c r="E9" s="11"/>
      <c r="F9" s="12" t="s">
        <v>8</v>
      </c>
      <c r="G9" s="12"/>
      <c r="H9" s="13" t="s">
        <v>9</v>
      </c>
    </row>
    <row r="10" spans="2:8" s="1" customFormat="1" ht="14.25">
      <c r="B10" s="10"/>
      <c r="C10" s="11"/>
      <c r="D10" s="11" t="s">
        <v>10</v>
      </c>
      <c r="E10" s="11" t="s">
        <v>11</v>
      </c>
      <c r="F10" s="14" t="s">
        <v>12</v>
      </c>
      <c r="G10" s="14" t="s">
        <v>13</v>
      </c>
      <c r="H10" s="15" t="s">
        <v>14</v>
      </c>
    </row>
    <row r="11" spans="1:20" ht="12.75">
      <c r="A11"/>
      <c r="B11" s="16"/>
      <c r="C11" s="16"/>
      <c r="D11" s="17"/>
      <c r="E11" s="17"/>
      <c r="F11" s="18"/>
      <c r="G11" s="18"/>
      <c r="H11" s="18"/>
      <c r="I11"/>
      <c r="J11"/>
      <c r="K11"/>
      <c r="L11"/>
      <c r="M11"/>
      <c r="N11"/>
      <c r="O11"/>
      <c r="P11"/>
      <c r="Q11"/>
      <c r="R11"/>
      <c r="S11"/>
      <c r="T11"/>
    </row>
    <row r="12" spans="1:20" ht="13.5" outlineLevel="1">
      <c r="A12"/>
      <c r="B12" s="19" t="s">
        <v>15</v>
      </c>
      <c r="C12" s="20"/>
      <c r="D12" s="21"/>
      <c r="E12" s="21"/>
      <c r="F12" s="18"/>
      <c r="G12" s="18"/>
      <c r="H12" s="18"/>
      <c r="I12"/>
      <c r="J12"/>
      <c r="K12"/>
      <c r="L12"/>
      <c r="M12"/>
      <c r="N12"/>
      <c r="O12"/>
      <c r="P12"/>
      <c r="Q12"/>
      <c r="R12"/>
      <c r="S12"/>
      <c r="T12"/>
    </row>
    <row r="13" spans="1:20" ht="13.5" outlineLevel="2">
      <c r="A13"/>
      <c r="B13" s="22" t="s">
        <v>16</v>
      </c>
      <c r="C13" s="23"/>
      <c r="D13" s="24"/>
      <c r="E13" s="24"/>
      <c r="F13" s="18"/>
      <c r="G13" s="18"/>
      <c r="H13" s="18"/>
      <c r="I13"/>
      <c r="J13"/>
      <c r="K13"/>
      <c r="L13"/>
      <c r="M13"/>
      <c r="N13"/>
      <c r="O13"/>
      <c r="P13"/>
      <c r="Q13"/>
      <c r="R13"/>
      <c r="S13"/>
      <c r="T13"/>
    </row>
    <row r="14" spans="1:20" ht="13.5" outlineLevel="3">
      <c r="A14"/>
      <c r="B14" s="25" t="s">
        <v>17</v>
      </c>
      <c r="C14" s="26"/>
      <c r="D14" s="27"/>
      <c r="E14" s="27"/>
      <c r="F14" s="18"/>
      <c r="G14" s="18"/>
      <c r="H14" s="18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 outlineLevel="4">
      <c r="A15"/>
      <c r="B15" s="28" t="str">
        <f>HYPERLINK("http://nashsad.ru/images/goods/big/00000008338.jpg","БЕЛАЯ амп махр 3 шт")</f>
        <v>БЕЛАЯ амп махр 3 шт</v>
      </c>
      <c r="C15" s="29">
        <v>8338</v>
      </c>
      <c r="D15" s="30">
        <v>216.6</v>
      </c>
      <c r="E15" s="31" t="s">
        <v>18</v>
      </c>
      <c r="F15" s="32"/>
      <c r="G15" s="18">
        <f aca="true" t="shared" si="0" ref="G15:G29">D15*F15</f>
        <v>0</v>
      </c>
      <c r="H15" s="18" t="str">
        <f>HYPERLINK("http://nashsad.ru/images/goods/big/00000008338.jpg","http://nashsad.ru/images/goods/big/00000008338.jpg")</f>
        <v>http://nashsad.ru/images/goods/big/00000008338.jpg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 outlineLevel="4">
      <c r="A16"/>
      <c r="B16" s="28" t="str">
        <f>HYPERLINK("http://nashsad.ru/images/goods/big/00000008353.jpg","Белая бахромчатая крцв 3 шт 6+")</f>
        <v>Белая бахромчатая крцв 3 шт 6+</v>
      </c>
      <c r="C16" s="29">
        <v>8353</v>
      </c>
      <c r="D16" s="30">
        <v>192</v>
      </c>
      <c r="E16" s="31" t="s">
        <v>18</v>
      </c>
      <c r="F16" s="32"/>
      <c r="G16" s="18">
        <f t="shared" si="0"/>
        <v>0</v>
      </c>
      <c r="H16" s="18" t="str">
        <f>HYPERLINK("http://nashsad.ru/images/goods/big/00000008353.jpg","http://nashsad.ru/images/goods/big/00000008353.jpg")</f>
        <v>http://nashsad.ru/images/goods/big/00000008353.jpg</v>
      </c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 outlineLevel="4">
      <c r="A17"/>
      <c r="B17" s="28" t="str">
        <f>HYPERLINK("http://nashsad.ru/images/goods/big/00000006732.jpg","БЕЛАЯ махр крцв 3 шт")</f>
        <v>БЕЛАЯ махр крцв 3 шт</v>
      </c>
      <c r="C17" s="29">
        <v>6732</v>
      </c>
      <c r="D17" s="30">
        <v>192</v>
      </c>
      <c r="E17" s="31" t="s">
        <v>18</v>
      </c>
      <c r="F17" s="32"/>
      <c r="G17" s="18">
        <f t="shared" si="0"/>
        <v>0</v>
      </c>
      <c r="H17" s="18" t="str">
        <f>HYPERLINK("http://nashsad.ru/images/goods/big/00000006732.jpg","http://nashsad.ru/images/goods/big/00000006732.jpg")</f>
        <v>http://nashsad.ru/images/goods/big/00000006732.jpg</v>
      </c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 outlineLevel="4">
      <c r="A18"/>
      <c r="B18" s="28" t="str">
        <f>HYPERLINK("http://nashsad.ru/images/goods/big/00000006734.jpg","ЖЕЛТАЯ амп махр 3 шт 6+")</f>
        <v>ЖЕЛТАЯ амп махр 3 шт 6+</v>
      </c>
      <c r="C18" s="29">
        <v>6734</v>
      </c>
      <c r="D18" s="30">
        <v>216.6</v>
      </c>
      <c r="E18" s="31" t="s">
        <v>18</v>
      </c>
      <c r="F18" s="32"/>
      <c r="G18" s="18">
        <f t="shared" si="0"/>
        <v>0</v>
      </c>
      <c r="H18" s="18" t="str">
        <f>HYPERLINK("http://nashsad.ru/images/goods/big/00000006734.jpg","http://nashsad.ru/images/goods/big/00000006734.jpg")</f>
        <v>http://nashsad.ru/images/goods/big/00000006734.jpg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 outlineLevel="4">
      <c r="A19"/>
      <c r="B19" s="28" t="str">
        <f>HYPERLINK("http://nashsad.ru/images/goods/big/00000008357.jpg","Желтая бахромчатая крцв 3 шт 6+")</f>
        <v>Желтая бахромчатая крцв 3 шт 6+</v>
      </c>
      <c r="C19" s="29">
        <v>8357</v>
      </c>
      <c r="D19" s="30">
        <v>192</v>
      </c>
      <c r="E19" s="31" t="s">
        <v>18</v>
      </c>
      <c r="F19" s="32"/>
      <c r="G19" s="18">
        <f t="shared" si="0"/>
        <v>0</v>
      </c>
      <c r="H19" s="18" t="str">
        <f>HYPERLINK("http://nashsad.ru/images/goods/big/00000008357.jpg","http://nashsad.ru/images/goods/big/00000008357.jpg")</f>
        <v>http://nashsad.ru/images/goods/big/00000008357.jpg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 outlineLevel="4">
      <c r="A20"/>
      <c r="B20" s="28" t="str">
        <f>HYPERLINK("http://nashsad.ru/images/goods/big/00000008333.jpg","ЖЕЛТАЯ махр крцв 3 шт 6+")</f>
        <v>ЖЕЛТАЯ махр крцв 3 шт 6+</v>
      </c>
      <c r="C20" s="29">
        <v>8333</v>
      </c>
      <c r="D20" s="30">
        <v>192</v>
      </c>
      <c r="E20" s="31" t="s">
        <v>18</v>
      </c>
      <c r="F20" s="32"/>
      <c r="G20" s="18">
        <f t="shared" si="0"/>
        <v>0</v>
      </c>
      <c r="H20" s="18" t="str">
        <f>HYPERLINK("http://nashsad.ru/images/goods/big/00000008333.jpg","http://nashsad.ru/images/goods/big/00000008333.jpg")</f>
        <v>http://nashsad.ru/images/goods/big/00000008333.jpg</v>
      </c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 outlineLevel="4">
      <c r="A21"/>
      <c r="B21" s="28" t="str">
        <f>HYPERLINK("http://nashsad.ru/images/goods/big/00000008336.jpg","КРАСНАЯ амп махр 3 шт")</f>
        <v>КРАСНАЯ амп махр 3 шт</v>
      </c>
      <c r="C21" s="29">
        <v>8336</v>
      </c>
      <c r="D21" s="30">
        <v>216.6</v>
      </c>
      <c r="E21" s="31" t="s">
        <v>18</v>
      </c>
      <c r="F21" s="32"/>
      <c r="G21" s="18">
        <f t="shared" si="0"/>
        <v>0</v>
      </c>
      <c r="H21" s="18" t="str">
        <f>HYPERLINK("http://nashsad.ru/images/goods/big/00000008336.jpg","http://nashsad.ru/images/goods/big/00000008336.jpg")</f>
        <v>http://nashsad.ru/images/goods/big/00000008336.jpg</v>
      </c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 outlineLevel="4">
      <c r="A22"/>
      <c r="B22" s="28" t="str">
        <f>HYPERLINK("http://nashsad.ru/images/goods/big/00000008356.jpg","Красная бахромчатая крцв 3 шт 6+")</f>
        <v>Красная бахромчатая крцв 3 шт 6+</v>
      </c>
      <c r="C22" s="29">
        <v>8356</v>
      </c>
      <c r="D22" s="30">
        <v>192</v>
      </c>
      <c r="E22" s="31" t="s">
        <v>18</v>
      </c>
      <c r="F22" s="32"/>
      <c r="G22" s="18">
        <f t="shared" si="0"/>
        <v>0</v>
      </c>
      <c r="H22" s="18" t="str">
        <f>HYPERLINK("http://nashsad.ru/images/goods/big/00000008356.jpg","http://nashsad.ru/images/goods/big/00000008356.jpg")</f>
        <v>http://nashsad.ru/images/goods/big/00000008356.jpg</v>
      </c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 outlineLevel="4">
      <c r="A23"/>
      <c r="B23" s="28" t="str">
        <f>HYPERLINK("http://nashsad.ru/images/goods/big/00000008335.jpg","КРАСНАЯ махр крцв 3 шт")</f>
        <v>КРАСНАЯ махр крцв 3 шт</v>
      </c>
      <c r="C23" s="29">
        <v>8335</v>
      </c>
      <c r="D23" s="30">
        <v>192</v>
      </c>
      <c r="E23" s="31" t="s">
        <v>18</v>
      </c>
      <c r="F23" s="32"/>
      <c r="G23" s="18">
        <f t="shared" si="0"/>
        <v>0</v>
      </c>
      <c r="H23" s="18" t="str">
        <f>HYPERLINK("http://nashsad.ru/images/goods/big/00000008335.jpg","http://nashsad.ru/images/goods/big/00000008335.jpg")</f>
        <v>http://nashsad.ru/images/goods/big/00000008335.jpg</v>
      </c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 outlineLevel="4">
      <c r="A24"/>
      <c r="B24" s="28" t="s">
        <v>19</v>
      </c>
      <c r="C24" s="29">
        <v>8352</v>
      </c>
      <c r="D24" s="30">
        <v>281.1</v>
      </c>
      <c r="E24" s="31" t="s">
        <v>18</v>
      </c>
      <c r="F24" s="32"/>
      <c r="G24" s="18">
        <f t="shared" si="0"/>
        <v>0</v>
      </c>
      <c r="H24" s="18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 outlineLevel="4">
      <c r="A25"/>
      <c r="B25" s="28" t="str">
        <f>HYPERLINK("http://nashsad.ru/images/goods/big/00000008337.jpg","РОЗОВАЯ амп махр 3 шт")</f>
        <v>РОЗОВАЯ амп махр 3 шт</v>
      </c>
      <c r="C25" s="29">
        <v>8337</v>
      </c>
      <c r="D25" s="30">
        <v>216.6</v>
      </c>
      <c r="E25" s="31" t="s">
        <v>18</v>
      </c>
      <c r="F25" s="32"/>
      <c r="G25" s="18">
        <f t="shared" si="0"/>
        <v>0</v>
      </c>
      <c r="H25" s="18" t="str">
        <f>HYPERLINK("http://nashsad.ru/images/goods/big/00000008337.jpg","http://nashsad.ru/images/goods/big/00000008337.jpg")</f>
        <v>http://nashsad.ru/images/goods/big/00000008337.jpg</v>
      </c>
      <c r="I25"/>
      <c r="J25"/>
      <c r="K25"/>
      <c r="L25"/>
      <c r="M25"/>
      <c r="N25"/>
      <c r="O25"/>
      <c r="P25"/>
      <c r="Q25"/>
      <c r="R25"/>
      <c r="S25"/>
      <c r="T25"/>
    </row>
    <row r="26" spans="1:20" ht="12.75" outlineLevel="4">
      <c r="A26"/>
      <c r="B26" s="28" t="str">
        <f>HYPERLINK("http://nashsad.ru/images/goods/big/00000008355.jpg","Розовая бахромчатая крцв 3 шт 6+")</f>
        <v>Розовая бахромчатая крцв 3 шт 6+</v>
      </c>
      <c r="C26" s="29">
        <v>8355</v>
      </c>
      <c r="D26" s="30">
        <v>192</v>
      </c>
      <c r="E26" s="31" t="s">
        <v>18</v>
      </c>
      <c r="F26" s="32"/>
      <c r="G26" s="18">
        <f t="shared" si="0"/>
        <v>0</v>
      </c>
      <c r="H26" s="18" t="str">
        <f>HYPERLINK("http://nashsad.ru/images/goods/big/00000008355.jpg","http://nashsad.ru/images/goods/big/00000008355.jpg")</f>
        <v>http://nashsad.ru/images/goods/big/00000008355.jpg</v>
      </c>
      <c r="I26"/>
      <c r="J26"/>
      <c r="K26"/>
      <c r="L26"/>
      <c r="M26"/>
      <c r="N26"/>
      <c r="O26"/>
      <c r="P26"/>
      <c r="Q26"/>
      <c r="R26"/>
      <c r="S26"/>
      <c r="T26"/>
    </row>
    <row r="27" spans="1:20" ht="12.75" outlineLevel="4">
      <c r="A27"/>
      <c r="B27" s="28" t="str">
        <f>HYPERLINK("http://nashsad.ru/images/goods/big/00000006731.jpg","РОЗОВАЯ махр крцв 3 шт")</f>
        <v>РОЗОВАЯ махр крцв 3 шт</v>
      </c>
      <c r="C27" s="29">
        <v>6731</v>
      </c>
      <c r="D27" s="30">
        <v>192</v>
      </c>
      <c r="E27" s="31" t="s">
        <v>18</v>
      </c>
      <c r="F27" s="32"/>
      <c r="G27" s="18">
        <f t="shared" si="0"/>
        <v>0</v>
      </c>
      <c r="H27" s="18" t="str">
        <f>HYPERLINK("http://nashsad.ru/images/goods/big/00000006731.jpg","http://nashsad.ru/images/goods/big/00000006731.jpg")</f>
        <v>http://nashsad.ru/images/goods/big/00000006731.jpg</v>
      </c>
      <c r="I27"/>
      <c r="J27"/>
      <c r="K27"/>
      <c r="L27"/>
      <c r="M27"/>
      <c r="N27"/>
      <c r="O27"/>
      <c r="P27"/>
      <c r="Q27"/>
      <c r="R27"/>
      <c r="S27"/>
      <c r="T27"/>
    </row>
    <row r="28" spans="1:20" ht="12.75" outlineLevel="4">
      <c r="A28"/>
      <c r="B28" s="28" t="s">
        <v>20</v>
      </c>
      <c r="C28" s="29">
        <v>10539</v>
      </c>
      <c r="D28" s="30">
        <v>262.7</v>
      </c>
      <c r="E28" s="31" t="s">
        <v>18</v>
      </c>
      <c r="F28" s="32"/>
      <c r="G28" s="18">
        <f t="shared" si="0"/>
        <v>0</v>
      </c>
      <c r="H28" s="18"/>
      <c r="I28"/>
      <c r="J28"/>
      <c r="K28"/>
      <c r="L28"/>
      <c r="M28"/>
      <c r="N28"/>
      <c r="O28"/>
      <c r="P28"/>
      <c r="Q28"/>
      <c r="R28"/>
      <c r="S28"/>
      <c r="T28"/>
    </row>
    <row r="29" spans="1:20" ht="12.75" outlineLevel="4">
      <c r="A29"/>
      <c r="B29" s="28" t="str">
        <f>HYPERLINK("http://nashsad.ru/images/goods/big/00000008334.jpg","СМЕСЬ махр крцв 3 шт")</f>
        <v>СМЕСЬ махр крцв 3 шт</v>
      </c>
      <c r="C29" s="29">
        <v>8334</v>
      </c>
      <c r="D29" s="30">
        <v>192</v>
      </c>
      <c r="E29" s="31" t="s">
        <v>18</v>
      </c>
      <c r="F29" s="32"/>
      <c r="G29" s="18">
        <f t="shared" si="0"/>
        <v>0</v>
      </c>
      <c r="H29" s="18" t="str">
        <f>HYPERLINK("http://nashsad.ru/images/goods/big/00000008334.jpg","http://nashsad.ru/images/goods/big/00000008334.jpg")</f>
        <v>http://nashsad.ru/images/goods/big/00000008334.jpg</v>
      </c>
      <c r="I29"/>
      <c r="J29"/>
      <c r="K29"/>
      <c r="L29"/>
      <c r="M29"/>
      <c r="N29"/>
      <c r="O29"/>
      <c r="P29"/>
      <c r="Q29"/>
      <c r="R29"/>
      <c r="S29"/>
      <c r="T29"/>
    </row>
    <row r="30" spans="1:20" ht="13.5" outlineLevel="3">
      <c r="A30"/>
      <c r="B30" s="25" t="s">
        <v>21</v>
      </c>
      <c r="C30" s="26"/>
      <c r="D30" s="27"/>
      <c r="E30" s="27"/>
      <c r="F30" s="18"/>
      <c r="G30" s="18"/>
      <c r="H30" s="18"/>
      <c r="I30"/>
      <c r="J30"/>
      <c r="K30"/>
      <c r="L30"/>
      <c r="M30"/>
      <c r="N30"/>
      <c r="O30"/>
      <c r="P30"/>
      <c r="Q30"/>
      <c r="R30"/>
      <c r="S30"/>
      <c r="T30"/>
    </row>
    <row r="31" spans="1:20" ht="12.75" outlineLevel="4">
      <c r="A31"/>
      <c r="B31" s="28" t="str">
        <f>HYPERLINK("http://nashsad.ru/images/goods/big/00000008417.jpg","Акита 25 см ГИГАНТСКАЯ 1 шт красно-желтый")</f>
        <v>Акита 25 см ГИГАНТСКАЯ 1 шт красно-желтый</v>
      </c>
      <c r="C31" s="29">
        <v>8417</v>
      </c>
      <c r="D31" s="30">
        <v>119.8</v>
      </c>
      <c r="E31" s="31" t="s">
        <v>18</v>
      </c>
      <c r="F31" s="32"/>
      <c r="G31" s="18">
        <f aca="true" t="shared" si="1" ref="G31:G95">D31*F31</f>
        <v>0</v>
      </c>
      <c r="H31" s="18" t="str">
        <f>HYPERLINK("http://nashsad.ru/images/goods/big/00000008417.jpg","http://nashsad.ru/images/goods/big/00000008417.jpg")</f>
        <v>http://nashsad.ru/images/goods/big/00000008417.jpg</v>
      </c>
      <c r="I31"/>
      <c r="J31"/>
      <c r="K31"/>
      <c r="L31"/>
      <c r="M31"/>
      <c r="N31"/>
      <c r="O31"/>
      <c r="P31"/>
      <c r="Q31"/>
      <c r="R31"/>
      <c r="S31"/>
      <c r="T31"/>
    </row>
    <row r="32" spans="1:20" ht="12.75" outlineLevel="4">
      <c r="A32"/>
      <c r="B32" s="28" t="str">
        <f>HYPERLINK("http://nashsad.ru/images/goods/big/00000009174.jpg","Апачи Кактус 1 шт алый")</f>
        <v>Апачи Кактус 1 шт алый</v>
      </c>
      <c r="C32" s="29">
        <v>9174</v>
      </c>
      <c r="D32" s="30">
        <v>119.8</v>
      </c>
      <c r="E32" s="31" t="s">
        <v>18</v>
      </c>
      <c r="F32" s="32"/>
      <c r="G32" s="18">
        <f t="shared" si="1"/>
        <v>0</v>
      </c>
      <c r="H32" s="18" t="str">
        <f>HYPERLINK("http://nashsad.ru/images/goods/big/00000009174.jpg","http://nashsad.ru/images/goods/big/00000009174.jpg")</f>
        <v>http://nashsad.ru/images/goods/big/00000009174.jpg</v>
      </c>
      <c r="I32"/>
      <c r="J32"/>
      <c r="K32"/>
      <c r="L32"/>
      <c r="M32"/>
      <c r="N32"/>
      <c r="O32"/>
      <c r="P32"/>
      <c r="Q32"/>
      <c r="R32"/>
      <c r="S32"/>
      <c r="T32"/>
    </row>
    <row r="33" spans="1:20" ht="12.75" outlineLevel="4">
      <c r="A33"/>
      <c r="B33" s="28" t="str">
        <f>HYPERLINK("http://nashsad.ru/images/goods/big/00000010515.jpg","Берлинер Клеене Лилипут 1 шт оранж-розов")</f>
        <v>Берлинер Клеене Лилипут 1 шт оранж-розов</v>
      </c>
      <c r="C33" s="29">
        <v>10515</v>
      </c>
      <c r="D33" s="30">
        <v>122.9</v>
      </c>
      <c r="E33" s="31" t="s">
        <v>18</v>
      </c>
      <c r="F33" s="32"/>
      <c r="G33" s="18">
        <f t="shared" si="1"/>
        <v>0</v>
      </c>
      <c r="H33" s="18" t="str">
        <f>HYPERLINK("http://nashsad.ru/images/goods/big/00000010515.jpg","http://nashsad.ru/images/goods/big/00000010515.jpg")</f>
        <v>http://nashsad.ru/images/goods/big/00000010515.jpg</v>
      </c>
      <c r="I33"/>
      <c r="J33"/>
      <c r="K33"/>
      <c r="L33"/>
      <c r="M33"/>
      <c r="N33"/>
      <c r="O33"/>
      <c r="P33"/>
      <c r="Q33"/>
      <c r="R33"/>
      <c r="S33"/>
      <c r="T33"/>
    </row>
    <row r="34" spans="1:20" ht="12.75" outlineLevel="4">
      <c r="A34"/>
      <c r="B34" s="28" t="str">
        <f>HYPERLINK("http://nashsad.ru/images/goods/big/00000010531.jpg","Блу Бой Декоративная1 шт голубой")</f>
        <v>Блу Бой Декоративная1 шт голубой</v>
      </c>
      <c r="C34" s="29">
        <v>10531</v>
      </c>
      <c r="D34" s="30">
        <v>122.9</v>
      </c>
      <c r="E34" s="31" t="s">
        <v>18</v>
      </c>
      <c r="F34" s="32"/>
      <c r="G34" s="18">
        <f t="shared" si="1"/>
        <v>0</v>
      </c>
      <c r="H34" s="18" t="str">
        <f>HYPERLINK("http://nashsad.ru/images/goods/big/00000010531.jpg","http://nashsad.ru/images/goods/big/00000010531.jpg")</f>
        <v>http://nashsad.ru/images/goods/big/00000010531.jpg</v>
      </c>
      <c r="I34"/>
      <c r="J34"/>
      <c r="K34"/>
      <c r="L34"/>
      <c r="M34"/>
      <c r="N34"/>
      <c r="O34"/>
      <c r="P34"/>
      <c r="Q34"/>
      <c r="R34"/>
      <c r="S34"/>
      <c r="T34"/>
    </row>
    <row r="35" spans="1:20" ht="12.75" outlineLevel="4">
      <c r="A35"/>
      <c r="B35" s="28" t="s">
        <v>22</v>
      </c>
      <c r="C35" s="29">
        <v>10526</v>
      </c>
      <c r="D35" s="30">
        <v>135.2</v>
      </c>
      <c r="E35" s="31" t="s">
        <v>18</v>
      </c>
      <c r="F35" s="32"/>
      <c r="G35" s="18">
        <f t="shared" si="1"/>
        <v>0</v>
      </c>
      <c r="H35" s="18"/>
      <c r="I35"/>
      <c r="J35"/>
      <c r="K35"/>
      <c r="L35"/>
      <c r="M35"/>
      <c r="N35"/>
      <c r="O35"/>
      <c r="P35"/>
      <c r="Q35"/>
      <c r="R35"/>
      <c r="S35"/>
      <c r="T35"/>
    </row>
    <row r="36" spans="1:20" ht="12.75" outlineLevel="4">
      <c r="A36"/>
      <c r="B36" s="28" t="str">
        <f>HYPERLINK("http://nashsad.ru/images/goods/big/00000008298.jpg","Бодасиоус 1шт")</f>
        <v>Бодасиоус 1шт</v>
      </c>
      <c r="C36" s="29">
        <v>8298</v>
      </c>
      <c r="D36" s="30">
        <v>135.2</v>
      </c>
      <c r="E36" s="31" t="s">
        <v>18</v>
      </c>
      <c r="F36" s="32"/>
      <c r="G36" s="18">
        <f t="shared" si="1"/>
        <v>0</v>
      </c>
      <c r="H36" s="18" t="str">
        <f>HYPERLINK("http://nashsad.ru/images/goods/big/00000008298.jpg","http://nashsad.ru/images/goods/big/00000008298.jpg")</f>
        <v>http://nashsad.ru/images/goods/big/00000008298.jpg</v>
      </c>
      <c r="I36"/>
      <c r="J36"/>
      <c r="K36"/>
      <c r="L36"/>
      <c r="M36"/>
      <c r="N36"/>
      <c r="O36"/>
      <c r="P36"/>
      <c r="Q36"/>
      <c r="R36"/>
      <c r="S36"/>
      <c r="T36"/>
    </row>
    <row r="37" spans="1:20" ht="12.75" outlineLevel="4">
      <c r="A37"/>
      <c r="B37" s="28" t="s">
        <v>23</v>
      </c>
      <c r="C37" s="29">
        <v>8307</v>
      </c>
      <c r="D37" s="30">
        <v>119.8</v>
      </c>
      <c r="E37" s="31" t="s">
        <v>18</v>
      </c>
      <c r="F37" s="32"/>
      <c r="G37" s="18">
        <f t="shared" si="1"/>
        <v>0</v>
      </c>
      <c r="H37" s="18"/>
      <c r="I37"/>
      <c r="J37"/>
      <c r="K37"/>
      <c r="L37"/>
      <c r="M37"/>
      <c r="N37"/>
      <c r="O37"/>
      <c r="P37"/>
      <c r="Q37"/>
      <c r="R37"/>
      <c r="S37"/>
      <c r="T37"/>
    </row>
    <row r="38" spans="1:20" ht="12.75" outlineLevel="4">
      <c r="A38"/>
      <c r="B38" s="28" t="str">
        <f>HYPERLINK("http://nashsad.ru/images/goods/big/00000010516.jpg","Буззетт Лилипут 1 шт фиолетовый")</f>
        <v>Буззетт Лилипут 1 шт фиолетовый</v>
      </c>
      <c r="C38" s="29">
        <v>10516</v>
      </c>
      <c r="D38" s="30">
        <v>119.8</v>
      </c>
      <c r="E38" s="31" t="s">
        <v>18</v>
      </c>
      <c r="F38" s="32"/>
      <c r="G38" s="18">
        <f t="shared" si="1"/>
        <v>0</v>
      </c>
      <c r="H38" s="18" t="str">
        <f>HYPERLINK("http://nashsad.ru/images/goods/big/00000010516.jpg","http://nashsad.ru/images/goods/big/00000010516.jpg")</f>
        <v>http://nashsad.ru/images/goods/big/00000010516.jpg</v>
      </c>
      <c r="I38"/>
      <c r="J38"/>
      <c r="K38"/>
      <c r="L38"/>
      <c r="M38"/>
      <c r="N38"/>
      <c r="O38"/>
      <c r="P38"/>
      <c r="Q38"/>
      <c r="R38"/>
      <c r="S38"/>
      <c r="T38"/>
    </row>
    <row r="39" spans="1:20" ht="12.75" outlineLevel="4">
      <c r="A39"/>
      <c r="B39" s="28" t="s">
        <v>24</v>
      </c>
      <c r="C39" s="29">
        <v>12712</v>
      </c>
      <c r="D39" s="30">
        <v>135.1</v>
      </c>
      <c r="E39" s="31" t="s">
        <v>18</v>
      </c>
      <c r="F39" s="32"/>
      <c r="G39" s="18">
        <f t="shared" si="1"/>
        <v>0</v>
      </c>
      <c r="H39" s="18"/>
      <c r="I39"/>
      <c r="J39"/>
      <c r="K39"/>
      <c r="L39"/>
      <c r="M39"/>
      <c r="N39"/>
      <c r="O39"/>
      <c r="P39"/>
      <c r="Q39"/>
      <c r="R39"/>
      <c r="S39"/>
      <c r="T39"/>
    </row>
    <row r="40" spans="1:20" ht="12.75" outlineLevel="4">
      <c r="A40"/>
      <c r="B40" s="28" t="str">
        <f>HYPERLINK("http://nashsad.ru/images/goods/big/00000008306.jpg","Веритабл кактус 1 шт гол-бел")</f>
        <v>Веритабл кактус 1 шт гол-бел</v>
      </c>
      <c r="C40" s="29">
        <v>8306</v>
      </c>
      <c r="D40" s="30">
        <v>135.2</v>
      </c>
      <c r="E40" s="31" t="s">
        <v>18</v>
      </c>
      <c r="F40" s="32"/>
      <c r="G40" s="18">
        <f t="shared" si="1"/>
        <v>0</v>
      </c>
      <c r="H40" s="18" t="str">
        <f>HYPERLINK("http://nashsad.ru/images/goods/big/00000008306.jpg","http://nashsad.ru/images/goods/big/00000008306.jpg")</f>
        <v>http://nashsad.ru/images/goods/big/00000008306.jpg</v>
      </c>
      <c r="I40"/>
      <c r="J40"/>
      <c r="K40"/>
      <c r="L40"/>
      <c r="M40"/>
      <c r="N40"/>
      <c r="O40"/>
      <c r="P40"/>
      <c r="Q40"/>
      <c r="R40"/>
      <c r="S40"/>
      <c r="T40"/>
    </row>
    <row r="41" spans="1:20" ht="12.75" outlineLevel="4">
      <c r="A41"/>
      <c r="B41" s="28" t="str">
        <f>HYPERLINK("http://nashsad.ru/images/goods/big/00000008420.jpg","Глори оф химстеде жел Декоративная1 шт")</f>
        <v>Глори оф химстеде жел Декоративная1 шт</v>
      </c>
      <c r="C41" s="29">
        <v>8420</v>
      </c>
      <c r="D41" s="30">
        <v>119.8</v>
      </c>
      <c r="E41" s="31" t="s">
        <v>18</v>
      </c>
      <c r="F41" s="32"/>
      <c r="G41" s="18">
        <f t="shared" si="1"/>
        <v>0</v>
      </c>
      <c r="H41" s="18" t="str">
        <f>HYPERLINK("http://nashsad.ru/images/goods/big/00000008420.jpg","http://nashsad.ru/images/goods/big/00000008420.jpg")</f>
        <v>http://nashsad.ru/images/goods/big/00000008420.jpg</v>
      </c>
      <c r="I41"/>
      <c r="J41"/>
      <c r="K41"/>
      <c r="L41"/>
      <c r="M41"/>
      <c r="N41"/>
      <c r="O41"/>
      <c r="P41"/>
      <c r="Q41"/>
      <c r="R41"/>
      <c r="S41"/>
      <c r="T41"/>
    </row>
    <row r="42" spans="1:20" ht="12.75" outlineLevel="4">
      <c r="A42"/>
      <c r="B42" s="28" t="s">
        <v>25</v>
      </c>
      <c r="C42" s="29">
        <v>8304</v>
      </c>
      <c r="D42" s="30">
        <v>119.8</v>
      </c>
      <c r="E42" s="31" t="s">
        <v>18</v>
      </c>
      <c r="F42" s="32"/>
      <c r="G42" s="18">
        <f t="shared" si="1"/>
        <v>0</v>
      </c>
      <c r="H42" s="18"/>
      <c r="I42"/>
      <c r="J42"/>
      <c r="K42"/>
      <c r="L42"/>
      <c r="M42"/>
      <c r="N42"/>
      <c r="O42"/>
      <c r="P42"/>
      <c r="Q42"/>
      <c r="R42"/>
      <c r="S42"/>
      <c r="T42"/>
    </row>
    <row r="43" spans="1:20" ht="12.75" outlineLevel="4">
      <c r="A43"/>
      <c r="B43" s="28" t="str">
        <f>HYPERLINK("http://nashsad.ru/images/goods/big/00000011842.jpg","Дарк Хорсе 1 шт. розов/бел")</f>
        <v>Дарк Хорсе 1 шт. розов/бел</v>
      </c>
      <c r="C43" s="29">
        <v>11842</v>
      </c>
      <c r="D43" s="30">
        <v>135.2</v>
      </c>
      <c r="E43" s="31" t="s">
        <v>18</v>
      </c>
      <c r="F43" s="32"/>
      <c r="G43" s="18">
        <f t="shared" si="1"/>
        <v>0</v>
      </c>
      <c r="H43" s="18" t="str">
        <f>HYPERLINK("http://nashsad.ru/images/goods/big/00000011842.jpg","http://nashsad.ru/images/goods/big/00000011842.jpg")</f>
        <v>http://nashsad.ru/images/goods/big/00000011842.jpg</v>
      </c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 outlineLevel="4">
      <c r="A44"/>
      <c r="B44" s="28" t="str">
        <f>HYPERLINK("http://nashsad.ru/images/goods/big/00000008426.jpg","Датч экспложн кактус фиол-роз-бел 1 шт")</f>
        <v>Датч экспложн кактус фиол-роз-бел 1 шт</v>
      </c>
      <c r="C44" s="29">
        <v>8426</v>
      </c>
      <c r="D44" s="30">
        <v>135.2</v>
      </c>
      <c r="E44" s="31" t="s">
        <v>18</v>
      </c>
      <c r="F44" s="32"/>
      <c r="G44" s="18">
        <f t="shared" si="1"/>
        <v>0</v>
      </c>
      <c r="H44" s="18" t="str">
        <f>HYPERLINK("http://nashsad.ru/images/goods/big/00000008426.jpg","http://nashsad.ru/images/goods/big/00000008426.jpg")</f>
        <v>http://nashsad.ru/images/goods/big/00000008426.jpg</v>
      </c>
      <c r="I44"/>
      <c r="J44"/>
      <c r="K44"/>
      <c r="L44"/>
      <c r="M44"/>
      <c r="N44"/>
      <c r="O44"/>
      <c r="P44"/>
      <c r="Q44"/>
      <c r="R44"/>
      <c r="S44"/>
      <c r="T44"/>
    </row>
    <row r="45" spans="1:20" ht="12.75" outlineLevel="4">
      <c r="A45"/>
      <c r="B45" s="28" t="s">
        <v>26</v>
      </c>
      <c r="C45" s="29">
        <v>8297</v>
      </c>
      <c r="D45" s="30">
        <v>119.8</v>
      </c>
      <c r="E45" s="31" t="s">
        <v>18</v>
      </c>
      <c r="F45" s="32"/>
      <c r="G45" s="18">
        <f t="shared" si="1"/>
        <v>0</v>
      </c>
      <c r="H45" s="18"/>
      <c r="I45"/>
      <c r="J45"/>
      <c r="K45"/>
      <c r="L45"/>
      <c r="M45"/>
      <c r="N45"/>
      <c r="O45"/>
      <c r="P45"/>
      <c r="Q45"/>
      <c r="R45"/>
      <c r="S45"/>
      <c r="T45"/>
    </row>
    <row r="46" spans="1:20" ht="12.75" outlineLevel="4">
      <c r="A46"/>
      <c r="B46" s="28" t="str">
        <f>HYPERLINK("http://nashsad.ru/images/goods/big/00000011843.jpg","Евелин 1 шт. нежнорозов")</f>
        <v>Евелин 1 шт. нежнорозов</v>
      </c>
      <c r="C46" s="29">
        <v>11843</v>
      </c>
      <c r="D46" s="30">
        <v>122.9</v>
      </c>
      <c r="E46" s="31" t="s">
        <v>18</v>
      </c>
      <c r="F46" s="32"/>
      <c r="G46" s="18">
        <f t="shared" si="1"/>
        <v>0</v>
      </c>
      <c r="H46" s="18" t="str">
        <f>HYPERLINK("http://nashsad.ru/images/goods/big/00000011843.jpg","http://nashsad.ru/images/goods/big/00000011843.jpg")</f>
        <v>http://nashsad.ru/images/goods/big/00000011843.jpg</v>
      </c>
      <c r="I46"/>
      <c r="J46"/>
      <c r="K46"/>
      <c r="L46"/>
      <c r="M46"/>
      <c r="N46"/>
      <c r="O46"/>
      <c r="P46"/>
      <c r="Q46"/>
      <c r="R46"/>
      <c r="S46"/>
      <c r="T46"/>
    </row>
    <row r="47" spans="1:20" ht="12.75" outlineLevel="4">
      <c r="A47"/>
      <c r="B47" s="28" t="s">
        <v>27</v>
      </c>
      <c r="C47" s="29">
        <v>12716</v>
      </c>
      <c r="D47" s="30">
        <v>135.2</v>
      </c>
      <c r="E47" s="31" t="s">
        <v>18</v>
      </c>
      <c r="F47" s="32"/>
      <c r="G47" s="18">
        <f t="shared" si="1"/>
        <v>0</v>
      </c>
      <c r="H47" s="18"/>
      <c r="I47"/>
      <c r="J47"/>
      <c r="K47"/>
      <c r="L47"/>
      <c r="M47"/>
      <c r="N47"/>
      <c r="O47"/>
      <c r="P47"/>
      <c r="Q47"/>
      <c r="R47"/>
      <c r="S47"/>
      <c r="T47"/>
    </row>
    <row r="48" spans="1:20" ht="12.75" outlineLevel="4">
      <c r="A48"/>
      <c r="B48" s="28" t="str">
        <f>HYPERLINK("http://nashsad.ru/images/goods/big/00000006768.jpg","Еллоу хаппиенс 1шт. лилипут")</f>
        <v>Еллоу хаппиенс 1шт. лилипут</v>
      </c>
      <c r="C48" s="29">
        <v>6768</v>
      </c>
      <c r="D48" s="30">
        <v>122.9</v>
      </c>
      <c r="E48" s="31" t="s">
        <v>18</v>
      </c>
      <c r="F48" s="32"/>
      <c r="G48" s="18">
        <f t="shared" si="1"/>
        <v>0</v>
      </c>
      <c r="H48" s="18" t="str">
        <f>HYPERLINK("http://nashsad.ru/images/goods/big/00000006768.jpg","http://nashsad.ru/images/goods/big/00000006768.jpg")</f>
        <v>http://nashsad.ru/images/goods/big/00000006768.jpg</v>
      </c>
      <c r="I48"/>
      <c r="J48"/>
      <c r="K48"/>
      <c r="L48"/>
      <c r="M48"/>
      <c r="N48"/>
      <c r="O48"/>
      <c r="P48"/>
      <c r="Q48"/>
      <c r="R48"/>
      <c r="S48"/>
      <c r="T48"/>
    </row>
    <row r="49" spans="1:20" ht="12.75" outlineLevel="4">
      <c r="A49"/>
      <c r="B49" s="28" t="str">
        <f>HYPERLINK("http://nashsad.ru/images/goods/big/00000008419.jpg","КабаллероДекоративная крем1 шт")</f>
        <v>КабаллероДекоративная крем1 шт</v>
      </c>
      <c r="C49" s="29">
        <v>8419</v>
      </c>
      <c r="D49" s="30">
        <v>135.2</v>
      </c>
      <c r="E49" s="31" t="s">
        <v>18</v>
      </c>
      <c r="F49" s="32"/>
      <c r="G49" s="18">
        <f t="shared" si="1"/>
        <v>0</v>
      </c>
      <c r="H49" s="18" t="str">
        <f>HYPERLINK("http://nashsad.ru/images/goods/big/00000008419.jpg","http://nashsad.ru/images/goods/big/00000008419.jpg")</f>
        <v>http://nashsad.ru/images/goods/big/00000008419.jpg</v>
      </c>
      <c r="I49"/>
      <c r="J49"/>
      <c r="K49"/>
      <c r="L49"/>
      <c r="M49"/>
      <c r="N49"/>
      <c r="O49"/>
      <c r="P49"/>
      <c r="Q49"/>
      <c r="R49"/>
      <c r="S49"/>
      <c r="T49"/>
    </row>
    <row r="50" spans="1:20" ht="12.75" outlineLevel="4">
      <c r="A50"/>
      <c r="B50" s="28" t="s">
        <v>28</v>
      </c>
      <c r="C50" s="29">
        <v>8427</v>
      </c>
      <c r="D50" s="30">
        <v>119.8</v>
      </c>
      <c r="E50" s="31" t="s">
        <v>18</v>
      </c>
      <c r="F50" s="32"/>
      <c r="G50" s="18">
        <f t="shared" si="1"/>
        <v>0</v>
      </c>
      <c r="H50" s="18"/>
      <c r="I50"/>
      <c r="J50"/>
      <c r="K50"/>
      <c r="L50"/>
      <c r="M50"/>
      <c r="N50"/>
      <c r="O50"/>
      <c r="P50"/>
      <c r="Q50"/>
      <c r="R50"/>
      <c r="S50"/>
      <c r="T50"/>
    </row>
    <row r="51" spans="1:20" ht="12.75" outlineLevel="4">
      <c r="A51"/>
      <c r="B51" s="28" t="s">
        <v>29</v>
      </c>
      <c r="C51" s="29">
        <v>12713</v>
      </c>
      <c r="D51" s="30">
        <v>119.8</v>
      </c>
      <c r="E51" s="31" t="s">
        <v>18</v>
      </c>
      <c r="F51" s="32"/>
      <c r="G51" s="18">
        <f t="shared" si="1"/>
        <v>0</v>
      </c>
      <c r="H51" s="18"/>
      <c r="I51"/>
      <c r="J51"/>
      <c r="K51"/>
      <c r="L51"/>
      <c r="M51"/>
      <c r="N51"/>
      <c r="O51"/>
      <c r="P51"/>
      <c r="Q51"/>
      <c r="R51"/>
      <c r="S51"/>
      <c r="T51"/>
    </row>
    <row r="52" spans="1:20" ht="12.75" outlineLevel="4">
      <c r="A52"/>
      <c r="B52" s="28" t="str">
        <f>HYPERLINK("http://nashsad.ru/images/goods/big/00000010530.jpg","Кафэ О ЛЭ 25 смГИГАНТСКАЯ1 шт кремово-белый")</f>
        <v>Кафэ О ЛЭ 25 смГИГАНТСКАЯ1 шт кремово-белый</v>
      </c>
      <c r="C52" s="29">
        <v>10530</v>
      </c>
      <c r="D52" s="30">
        <v>152.1</v>
      </c>
      <c r="E52" s="31" t="s">
        <v>18</v>
      </c>
      <c r="F52" s="32"/>
      <c r="G52" s="18">
        <f t="shared" si="1"/>
        <v>0</v>
      </c>
      <c r="H52" s="18" t="str">
        <f>HYPERLINK("http://nashsad.ru/images/goods/big/00000010530.jpg","http://nashsad.ru/images/goods/big/00000010530.jpg")</f>
        <v>http://nashsad.ru/images/goods/big/00000010530.jpg</v>
      </c>
      <c r="I52"/>
      <c r="J52"/>
      <c r="K52"/>
      <c r="L52"/>
      <c r="M52"/>
      <c r="N52"/>
      <c r="O52"/>
      <c r="P52"/>
      <c r="Q52"/>
      <c r="R52"/>
      <c r="S52"/>
      <c r="T52"/>
    </row>
    <row r="53" spans="1:20" ht="12.75" outlineLevel="4">
      <c r="A53"/>
      <c r="B53" s="28" t="str">
        <f>HYPERLINK("http://nashsad.ru/images/goods/big/00000008294.jpg","Келвин флудлайт 25 смГИГАНТСКАЯ1 шт желтый")</f>
        <v>Келвин флудлайт 25 смГИГАНТСКАЯ1 шт желтый</v>
      </c>
      <c r="C53" s="29">
        <v>8294</v>
      </c>
      <c r="D53" s="30">
        <v>119.8</v>
      </c>
      <c r="E53" s="31" t="s">
        <v>18</v>
      </c>
      <c r="F53" s="32"/>
      <c r="G53" s="18">
        <f t="shared" si="1"/>
        <v>0</v>
      </c>
      <c r="H53" s="18" t="str">
        <f>HYPERLINK("http://nashsad.ru/images/goods/big/00000008294.jpg","http://nashsad.ru/images/goods/big/00000008294.jpg")</f>
        <v>http://nashsad.ru/images/goods/big/00000008294.jpg</v>
      </c>
      <c r="I53"/>
      <c r="J53"/>
      <c r="K53"/>
      <c r="L53"/>
      <c r="M53"/>
      <c r="N53"/>
      <c r="O53"/>
      <c r="P53"/>
      <c r="Q53"/>
      <c r="R53"/>
      <c r="S53"/>
      <c r="T53"/>
    </row>
    <row r="54" spans="1:20" ht="22.5" outlineLevel="4">
      <c r="A54"/>
      <c r="B54" s="28" t="s">
        <v>30</v>
      </c>
      <c r="C54" s="29">
        <v>8313</v>
      </c>
      <c r="D54" s="30">
        <v>152.1</v>
      </c>
      <c r="E54" s="31" t="s">
        <v>18</v>
      </c>
      <c r="F54" s="32"/>
      <c r="G54" s="18">
        <f t="shared" si="1"/>
        <v>0</v>
      </c>
      <c r="H54" s="18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outlineLevel="4">
      <c r="A55"/>
      <c r="B55" s="28" t="s">
        <v>31</v>
      </c>
      <c r="C55" s="29">
        <v>9726</v>
      </c>
      <c r="D55" s="30">
        <v>135.2</v>
      </c>
      <c r="E55" s="31" t="s">
        <v>18</v>
      </c>
      <c r="F55" s="32"/>
      <c r="G55" s="18">
        <f t="shared" si="1"/>
        <v>0</v>
      </c>
      <c r="H55" s="18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 outlineLevel="4">
      <c r="A56"/>
      <c r="B56" s="28" t="str">
        <f>HYPERLINK("http://nashsad.ru/images/goods/big/00000009724.jpg","Контраст Декоративная1 шт корич-бел")</f>
        <v>Контраст Декоративная1 шт корич-бел</v>
      </c>
      <c r="C56" s="29">
        <v>9724</v>
      </c>
      <c r="D56" s="30">
        <v>152.1</v>
      </c>
      <c r="E56" s="31" t="s">
        <v>18</v>
      </c>
      <c r="F56" s="32"/>
      <c r="G56" s="18">
        <f t="shared" si="1"/>
        <v>0</v>
      </c>
      <c r="H56" s="18" t="str">
        <f>HYPERLINK("http://nashsad.ru/images/goods/big/00000009724.jpg","http://nashsad.ru/images/goods/big/00000009724.jpg")</f>
        <v>http://nashsad.ru/images/goods/big/00000009724.jpg</v>
      </c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 outlineLevel="4">
      <c r="A57"/>
      <c r="B57" s="28" t="str">
        <f>HYPERLINK("http://nashsad.ru/images/goods/big/00000011831.jpg","Леди Дарлин 1шт. желт/красн")</f>
        <v>Леди Дарлин 1шт. желт/красн</v>
      </c>
      <c r="C57" s="29">
        <v>11831</v>
      </c>
      <c r="D57" s="30">
        <v>135.2</v>
      </c>
      <c r="E57" s="31" t="s">
        <v>18</v>
      </c>
      <c r="F57" s="32"/>
      <c r="G57" s="18">
        <f t="shared" si="1"/>
        <v>0</v>
      </c>
      <c r="H57" s="18" t="str">
        <f>HYPERLINK("http://nashsad.ru/images/goods/big/00000011831.jpg","http://nashsad.ru/images/goods/big/00000011831.jpg")</f>
        <v>http://nashsad.ru/images/goods/big/00000011831.jpg</v>
      </c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 outlineLevel="4">
      <c r="A58"/>
      <c r="B58" s="28" t="s">
        <v>32</v>
      </c>
      <c r="C58" s="29">
        <v>11845</v>
      </c>
      <c r="D58" s="30">
        <v>135.2</v>
      </c>
      <c r="E58" s="31" t="s">
        <v>18</v>
      </c>
      <c r="F58" s="32"/>
      <c r="G58" s="18">
        <f t="shared" si="1"/>
        <v>0</v>
      </c>
      <c r="H58" s="18"/>
      <c r="I58"/>
      <c r="J58"/>
      <c r="K58"/>
      <c r="L58"/>
      <c r="M58"/>
      <c r="N58"/>
      <c r="O58"/>
      <c r="P58"/>
      <c r="Q58"/>
      <c r="R58"/>
      <c r="S58"/>
      <c r="T58"/>
    </row>
    <row r="59" spans="1:20" ht="12.75" outlineLevel="4">
      <c r="A59"/>
      <c r="B59" s="28" t="s">
        <v>33</v>
      </c>
      <c r="C59" s="29">
        <v>9181</v>
      </c>
      <c r="D59" s="30">
        <v>135.2</v>
      </c>
      <c r="E59" s="31" t="s">
        <v>18</v>
      </c>
      <c r="F59" s="32"/>
      <c r="G59" s="18">
        <f t="shared" si="1"/>
        <v>0</v>
      </c>
      <c r="H59" s="18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 outlineLevel="4">
      <c r="A60"/>
      <c r="B60" s="28" t="s">
        <v>34</v>
      </c>
      <c r="C60" s="29">
        <v>9175</v>
      </c>
      <c r="D60" s="30">
        <v>119.8</v>
      </c>
      <c r="E60" s="31" t="s">
        <v>18</v>
      </c>
      <c r="F60" s="32"/>
      <c r="G60" s="18">
        <f t="shared" si="1"/>
        <v>0</v>
      </c>
      <c r="H60" s="18"/>
      <c r="I60"/>
      <c r="J60"/>
      <c r="K60"/>
      <c r="L60"/>
      <c r="M60"/>
      <c r="N60"/>
      <c r="O60"/>
      <c r="P60"/>
      <c r="Q60"/>
      <c r="R60"/>
      <c r="S60"/>
      <c r="T60"/>
    </row>
    <row r="61" spans="1:20" ht="12.75" outlineLevel="4">
      <c r="A61"/>
      <c r="B61" s="28" t="str">
        <f>HYPERLINK("http://nashsad.ru/images/goods/big/00000010528.jpg","Максим 1шт.")</f>
        <v>Максим 1шт.</v>
      </c>
      <c r="C61" s="29">
        <v>10528</v>
      </c>
      <c r="D61" s="30">
        <v>135.2</v>
      </c>
      <c r="E61" s="31" t="s">
        <v>18</v>
      </c>
      <c r="F61" s="32"/>
      <c r="G61" s="18">
        <f t="shared" si="1"/>
        <v>0</v>
      </c>
      <c r="H61" s="18" t="str">
        <f>HYPERLINK("http://nashsad.ru/images/goods/big/00000010528.jpg","http://nashsad.ru/images/goods/big/00000010528.jpg")</f>
        <v>http://nashsad.ru/images/goods/big/00000010528.jpg</v>
      </c>
      <c r="I61"/>
      <c r="J61"/>
      <c r="K61"/>
      <c r="L61"/>
      <c r="M61"/>
      <c r="N61"/>
      <c r="O61"/>
      <c r="P61"/>
      <c r="Q61"/>
      <c r="R61"/>
      <c r="S61"/>
      <c r="T61"/>
    </row>
    <row r="62" spans="1:20" ht="12.75" outlineLevel="4">
      <c r="A62"/>
      <c r="B62" s="28" t="str">
        <f>HYPERLINK("http://nashsad.ru/images/goods/big/00000010519.jpg","Меркатор катус 1 шт светло  розов")</f>
        <v>Меркатор катус 1 шт светло  розов</v>
      </c>
      <c r="C62" s="29">
        <v>10519</v>
      </c>
      <c r="D62" s="30">
        <v>135.2</v>
      </c>
      <c r="E62" s="31" t="s">
        <v>18</v>
      </c>
      <c r="F62" s="32"/>
      <c r="G62" s="18">
        <f t="shared" si="1"/>
        <v>0</v>
      </c>
      <c r="H62" s="18" t="str">
        <f>HYPERLINK("http://nashsad.ru/images/goods/big/00000010519.jpg","http://nashsad.ru/images/goods/big/00000010519.jpg")</f>
        <v>http://nashsad.ru/images/goods/big/00000010519.jpg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20" ht="12.75" outlineLevel="4">
      <c r="A63"/>
      <c r="B63" s="28" t="str">
        <f>HYPERLINK("http://nashsad.ru/images/goods/big/00000008296.jpg","Мотто 25 см ГИГАНТСКАЯ 1 шт оранж")</f>
        <v>Мотто 25 см ГИГАНТСКАЯ 1 шт оранж</v>
      </c>
      <c r="C63" s="29">
        <v>8296</v>
      </c>
      <c r="D63" s="30">
        <v>122.9</v>
      </c>
      <c r="E63" s="31" t="s">
        <v>18</v>
      </c>
      <c r="F63" s="32"/>
      <c r="G63" s="18">
        <f t="shared" si="1"/>
        <v>0</v>
      </c>
      <c r="H63" s="18" t="str">
        <f>HYPERLINK("http://nashsad.ru/images/goods/big/00000008296.jpg","http://nashsad.ru/images/goods/big/00000008296.jpg")</f>
        <v>http://nashsad.ru/images/goods/big/00000008296.jpg</v>
      </c>
      <c r="I63"/>
      <c r="J63"/>
      <c r="K63"/>
      <c r="L63"/>
      <c r="M63"/>
      <c r="N63"/>
      <c r="O63"/>
      <c r="P63"/>
      <c r="Q63"/>
      <c r="R63"/>
      <c r="S63"/>
      <c r="T63"/>
    </row>
    <row r="64" spans="1:20" ht="12.75" outlineLevel="4">
      <c r="A64"/>
      <c r="B64" s="28" t="s">
        <v>35</v>
      </c>
      <c r="C64" s="29">
        <v>11594</v>
      </c>
      <c r="D64" s="30">
        <v>135.2</v>
      </c>
      <c r="E64" s="31" t="s">
        <v>18</v>
      </c>
      <c r="F64" s="32"/>
      <c r="G64" s="18">
        <f t="shared" si="1"/>
        <v>0</v>
      </c>
      <c r="H64" s="18"/>
      <c r="I64"/>
      <c r="J64"/>
      <c r="K64"/>
      <c r="L64"/>
      <c r="M64"/>
      <c r="N64"/>
      <c r="O64"/>
      <c r="P64"/>
      <c r="Q64"/>
      <c r="R64"/>
      <c r="S64"/>
      <c r="T64"/>
    </row>
    <row r="65" spans="1:20" ht="12.75" outlineLevel="4">
      <c r="A65"/>
      <c r="B65" s="28" t="s">
        <v>36</v>
      </c>
      <c r="C65" s="29">
        <v>9180</v>
      </c>
      <c r="D65" s="30">
        <v>119.8</v>
      </c>
      <c r="E65" s="31" t="s">
        <v>18</v>
      </c>
      <c r="F65" s="32"/>
      <c r="G65" s="18">
        <f t="shared" si="1"/>
        <v>0</v>
      </c>
      <c r="H65" s="18"/>
      <c r="I65"/>
      <c r="J65"/>
      <c r="K65"/>
      <c r="L65"/>
      <c r="M65"/>
      <c r="N65"/>
      <c r="O65"/>
      <c r="P65"/>
      <c r="Q65"/>
      <c r="R65"/>
      <c r="S65"/>
      <c r="T65"/>
    </row>
    <row r="66" spans="1:20" ht="12.75" outlineLevel="4">
      <c r="A66"/>
      <c r="B66" s="28" t="str">
        <f>HYPERLINK("http://nashsad.ru/images/goods/big/00000008422.jpg","Оптик иллюжн Декоративная 1 шт пурп-фиолет-белый")</f>
        <v>Оптик иллюжн Декоративная 1 шт пурп-фиолет-белый</v>
      </c>
      <c r="C66" s="29">
        <v>8422</v>
      </c>
      <c r="D66" s="30">
        <v>135.2</v>
      </c>
      <c r="E66" s="31" t="s">
        <v>18</v>
      </c>
      <c r="F66" s="32"/>
      <c r="G66" s="18">
        <f t="shared" si="1"/>
        <v>0</v>
      </c>
      <c r="H66" s="18" t="str">
        <f>HYPERLINK("http://nashsad.ru/images/goods/big/00000008422.jpg","http://nashsad.ru/images/goods/big/00000008422.jpg")</f>
        <v>http://nashsad.ru/images/goods/big/00000008422.jpg</v>
      </c>
      <c r="I66"/>
      <c r="J66"/>
      <c r="K66"/>
      <c r="L66"/>
      <c r="M66"/>
      <c r="N66"/>
      <c r="O66"/>
      <c r="P66"/>
      <c r="Q66"/>
      <c r="R66"/>
      <c r="S66"/>
      <c r="T66"/>
    </row>
    <row r="67" spans="1:20" ht="12.75" outlineLevel="4">
      <c r="A67"/>
      <c r="B67" s="28" t="str">
        <f>HYPERLINK("http://nashsad.ru/images/goods/big/00000010518.jpg","Оранж наггит 1 шт оранжево-красный")</f>
        <v>Оранж наггит 1 шт оранжево-красный</v>
      </c>
      <c r="C67" s="29">
        <v>10518</v>
      </c>
      <c r="D67" s="30">
        <v>119.8</v>
      </c>
      <c r="E67" s="31" t="s">
        <v>18</v>
      </c>
      <c r="F67" s="32"/>
      <c r="G67" s="18">
        <f t="shared" si="1"/>
        <v>0</v>
      </c>
      <c r="H67" s="18" t="str">
        <f>HYPERLINK("http://nashsad.ru/images/goods/big/00000010518.jpg","http://nashsad.ru/images/goods/big/00000010518.jpg")</f>
        <v>http://nashsad.ru/images/goods/big/00000010518.jpg</v>
      </c>
      <c r="I67"/>
      <c r="J67"/>
      <c r="K67"/>
      <c r="L67"/>
      <c r="M67"/>
      <c r="N67"/>
      <c r="O67"/>
      <c r="P67"/>
      <c r="Q67"/>
      <c r="R67"/>
      <c r="S67"/>
      <c r="T67"/>
    </row>
    <row r="68" spans="1:20" ht="12.75" outlineLevel="4">
      <c r="A68"/>
      <c r="B68" s="28" t="s">
        <v>37</v>
      </c>
      <c r="C68" s="29">
        <v>9173</v>
      </c>
      <c r="D68" s="30">
        <v>135.2</v>
      </c>
      <c r="E68" s="31" t="s">
        <v>18</v>
      </c>
      <c r="F68" s="32"/>
      <c r="G68" s="18">
        <f t="shared" si="1"/>
        <v>0</v>
      </c>
      <c r="H68" s="18"/>
      <c r="I68"/>
      <c r="J68"/>
      <c r="K68"/>
      <c r="L68"/>
      <c r="M68"/>
      <c r="N68"/>
      <c r="O68"/>
      <c r="P68"/>
      <c r="Q68"/>
      <c r="R68"/>
      <c r="S68"/>
      <c r="T68"/>
    </row>
    <row r="69" spans="1:20" ht="12.75" outlineLevel="4">
      <c r="A69"/>
      <c r="B69" s="28" t="str">
        <f>HYPERLINK("http://nashsad.ru/images/goods/big/00000010510.jpg","Орфео кактус 1 шт пурпурный")</f>
        <v>Орфео кактус 1 шт пурпурный</v>
      </c>
      <c r="C69" s="29">
        <v>10510</v>
      </c>
      <c r="D69" s="30">
        <v>119.8</v>
      </c>
      <c r="E69" s="31" t="s">
        <v>18</v>
      </c>
      <c r="F69" s="32"/>
      <c r="G69" s="18">
        <f t="shared" si="1"/>
        <v>0</v>
      </c>
      <c r="H69" s="18" t="str">
        <f>HYPERLINK("http://nashsad.ru/images/goods/big/00000010510.jpg","http://nashsad.ru/images/goods/big/00000010510.jpg")</f>
        <v>http://nashsad.ru/images/goods/big/00000010510.jpg</v>
      </c>
      <c r="I69"/>
      <c r="J69"/>
      <c r="K69"/>
      <c r="L69"/>
      <c r="M69"/>
      <c r="N69"/>
      <c r="O69"/>
      <c r="P69"/>
      <c r="Q69"/>
      <c r="R69"/>
      <c r="S69"/>
      <c r="T69"/>
    </row>
    <row r="70" spans="1:20" ht="12.75" outlineLevel="4">
      <c r="A70"/>
      <c r="B70" s="28" t="str">
        <f>HYPERLINK("http://nashsad.ru/images/goods/big/00000012197.jpg","Отто трилл 1шт.")</f>
        <v>Отто трилл 1шт.</v>
      </c>
      <c r="C70" s="29">
        <v>12197</v>
      </c>
      <c r="D70" s="30">
        <v>152.1</v>
      </c>
      <c r="E70" s="31" t="s">
        <v>18</v>
      </c>
      <c r="F70" s="32"/>
      <c r="G70" s="18">
        <f t="shared" si="1"/>
        <v>0</v>
      </c>
      <c r="H70" s="18" t="str">
        <f>HYPERLINK("http://nashsad.ru/images/goods/big/00000012197.jpg","http://nashsad.ru/images/goods/big/00000012197.jpg")</f>
        <v>http://nashsad.ru/images/goods/big/00000012197.jpg</v>
      </c>
      <c r="I70"/>
      <c r="J70"/>
      <c r="K70"/>
      <c r="L70"/>
      <c r="M70"/>
      <c r="N70"/>
      <c r="O70"/>
      <c r="P70"/>
      <c r="Q70"/>
      <c r="R70"/>
      <c r="S70"/>
      <c r="T70"/>
    </row>
    <row r="71" spans="1:20" ht="12.75" outlineLevel="4">
      <c r="A71"/>
      <c r="B71" s="28" t="str">
        <f>HYPERLINK("http://nashsad.ru/images/goods/big/00000010534.jpg","Пент Хаус Декоративная 1 шт бело-фиолетовый")</f>
        <v>Пент Хаус Декоративная 1 шт бело-фиолетовый</v>
      </c>
      <c r="C71" s="29">
        <v>10534</v>
      </c>
      <c r="D71" s="30">
        <v>135.2</v>
      </c>
      <c r="E71" s="31" t="s">
        <v>18</v>
      </c>
      <c r="F71" s="32"/>
      <c r="G71" s="18">
        <f t="shared" si="1"/>
        <v>0</v>
      </c>
      <c r="H71" s="18" t="str">
        <f>HYPERLINK("http://nashsad.ru/images/goods/big/00000010534.jpg","http://nashsad.ru/images/goods/big/00000010534.jpg")</f>
        <v>http://nashsad.ru/images/goods/big/00000010534.jpg</v>
      </c>
      <c r="I71"/>
      <c r="J71"/>
      <c r="K71"/>
      <c r="L71"/>
      <c r="M71"/>
      <c r="N71"/>
      <c r="O71"/>
      <c r="P71"/>
      <c r="Q71"/>
      <c r="R71"/>
      <c r="S71"/>
      <c r="T71"/>
    </row>
    <row r="72" spans="1:20" ht="12.75" outlineLevel="4">
      <c r="A72"/>
      <c r="B72" s="28" t="s">
        <v>38</v>
      </c>
      <c r="C72" s="29">
        <v>8321</v>
      </c>
      <c r="D72" s="30">
        <v>119.8</v>
      </c>
      <c r="E72" s="31" t="s">
        <v>18</v>
      </c>
      <c r="F72" s="32"/>
      <c r="G72" s="18">
        <f t="shared" si="1"/>
        <v>0</v>
      </c>
      <c r="H72" s="18"/>
      <c r="I72"/>
      <c r="J72"/>
      <c r="K72"/>
      <c r="L72"/>
      <c r="M72"/>
      <c r="N72"/>
      <c r="O72"/>
      <c r="P72"/>
      <c r="Q72"/>
      <c r="R72"/>
      <c r="S72"/>
      <c r="T72"/>
    </row>
    <row r="73" spans="1:20" ht="12.75" outlineLevel="4">
      <c r="A73"/>
      <c r="B73" s="28" t="s">
        <v>39</v>
      </c>
      <c r="C73" s="29">
        <v>9176</v>
      </c>
      <c r="D73" s="30">
        <v>119.8</v>
      </c>
      <c r="E73" s="31" t="s">
        <v>18</v>
      </c>
      <c r="F73" s="32"/>
      <c r="G73" s="18">
        <f t="shared" si="1"/>
        <v>0</v>
      </c>
      <c r="H73" s="18"/>
      <c r="I73"/>
      <c r="J73"/>
      <c r="K73"/>
      <c r="L73"/>
      <c r="M73"/>
      <c r="N73"/>
      <c r="O73"/>
      <c r="P73"/>
      <c r="Q73"/>
      <c r="R73"/>
      <c r="S73"/>
      <c r="T73"/>
    </row>
    <row r="74" spans="1:20" ht="12.75" outlineLevel="4">
      <c r="A74"/>
      <c r="B74" s="28" t="str">
        <f>HYPERLINK("http://nashsad.ru/images/goods/big/00000008300.jpg","Процион Декоративная 1 шт красн-желт")</f>
        <v>Процион Декоративная 1 шт красн-желт</v>
      </c>
      <c r="C74" s="29">
        <v>8300</v>
      </c>
      <c r="D74" s="30">
        <v>119.8</v>
      </c>
      <c r="E74" s="31" t="s">
        <v>18</v>
      </c>
      <c r="F74" s="32"/>
      <c r="G74" s="18">
        <f t="shared" si="1"/>
        <v>0</v>
      </c>
      <c r="H74" s="18" t="str">
        <f>HYPERLINK("http://nashsad.ru/images/goods/big/00000008300.jpg","http://nashsad.ru/images/goods/big/00000008300.jpg")</f>
        <v>http://nashsad.ru/images/goods/big/00000008300.jpg</v>
      </c>
      <c r="I74"/>
      <c r="J74"/>
      <c r="K74"/>
      <c r="L74"/>
      <c r="M74"/>
      <c r="N74"/>
      <c r="O74"/>
      <c r="P74"/>
      <c r="Q74"/>
      <c r="R74"/>
      <c r="S74"/>
      <c r="T74"/>
    </row>
    <row r="75" spans="1:20" ht="12.75" outlineLevel="4">
      <c r="A75"/>
      <c r="B75" s="28" t="str">
        <f>HYPERLINK("http://nashsad.ru/images/goods/big/00000009177.jpg","Ред пигми Лилипут 1 шт алый")</f>
        <v>Ред пигми Лилипут 1 шт алый</v>
      </c>
      <c r="C75" s="29">
        <v>9177</v>
      </c>
      <c r="D75" s="30">
        <v>119.8</v>
      </c>
      <c r="E75" s="31" t="s">
        <v>18</v>
      </c>
      <c r="F75" s="32"/>
      <c r="G75" s="18">
        <f t="shared" si="1"/>
        <v>0</v>
      </c>
      <c r="H75" s="18" t="str">
        <f>HYPERLINK("http://nashsad.ru/images/goods/big/00000009177.jpg","http://nashsad.ru/images/goods/big/00000009177.jpg")</f>
        <v>http://nashsad.ru/images/goods/big/00000009177.jpg</v>
      </c>
      <c r="I75"/>
      <c r="J75"/>
      <c r="K75"/>
      <c r="L75"/>
      <c r="M75"/>
      <c r="N75"/>
      <c r="O75"/>
      <c r="P75"/>
      <c r="Q75"/>
      <c r="R75"/>
      <c r="S75"/>
      <c r="T75"/>
    </row>
    <row r="76" spans="1:20" ht="12.75" outlineLevel="4">
      <c r="A76"/>
      <c r="B76" s="28" t="str">
        <f>HYPERLINK("http://nashsad.ru/images/goods/big/00000011600.jpg","Ред сан 1 шт красный")</f>
        <v>Ред сан 1 шт красный</v>
      </c>
      <c r="C76" s="29">
        <v>11600</v>
      </c>
      <c r="D76" s="30">
        <v>122.9</v>
      </c>
      <c r="E76" s="31" t="s">
        <v>18</v>
      </c>
      <c r="F76" s="32"/>
      <c r="G76" s="18">
        <f t="shared" si="1"/>
        <v>0</v>
      </c>
      <c r="H76" s="18" t="str">
        <f>HYPERLINK("http://nashsad.ru/images/goods/big/00000011600.jpg","http://nashsad.ru/images/goods/big/00000011600.jpg")</f>
        <v>http://nashsad.ru/images/goods/big/00000011600.jpg</v>
      </c>
      <c r="I76"/>
      <c r="J76"/>
      <c r="K76"/>
      <c r="L76"/>
      <c r="M76"/>
      <c r="N76"/>
      <c r="O76"/>
      <c r="P76"/>
      <c r="Q76"/>
      <c r="R76"/>
      <c r="S76"/>
      <c r="T76"/>
    </row>
    <row r="77" spans="1:20" ht="12.75" outlineLevel="4">
      <c r="A77"/>
      <c r="B77" s="28" t="s">
        <v>40</v>
      </c>
      <c r="C77" s="29">
        <v>11846</v>
      </c>
      <c r="D77" s="30">
        <v>135.2</v>
      </c>
      <c r="E77" s="31" t="s">
        <v>18</v>
      </c>
      <c r="F77" s="32"/>
      <c r="G77" s="18">
        <f t="shared" si="1"/>
        <v>0</v>
      </c>
      <c r="H77" s="18"/>
      <c r="I77"/>
      <c r="J77"/>
      <c r="K77"/>
      <c r="L77"/>
      <c r="M77"/>
      <c r="N77"/>
      <c r="O77"/>
      <c r="P77"/>
      <c r="Q77"/>
      <c r="R77"/>
      <c r="S77"/>
      <c r="T77"/>
    </row>
    <row r="78" spans="1:20" ht="12.75" outlineLevel="4">
      <c r="A78"/>
      <c r="B78" s="28" t="s">
        <v>41</v>
      </c>
      <c r="C78" s="29">
        <v>9172</v>
      </c>
      <c r="D78" s="30">
        <v>119.8</v>
      </c>
      <c r="E78" s="31" t="s">
        <v>18</v>
      </c>
      <c r="F78" s="32"/>
      <c r="G78" s="18">
        <f t="shared" si="1"/>
        <v>0</v>
      </c>
      <c r="H78" s="18"/>
      <c r="I78"/>
      <c r="J78"/>
      <c r="K78"/>
      <c r="L78"/>
      <c r="M78"/>
      <c r="N78"/>
      <c r="O78"/>
      <c r="P78"/>
      <c r="Q78"/>
      <c r="R78"/>
      <c r="S78"/>
      <c r="T78"/>
    </row>
    <row r="79" spans="1:20" ht="12.75" outlineLevel="4">
      <c r="A79"/>
      <c r="B79" s="28" t="s">
        <v>42</v>
      </c>
      <c r="C79" s="29">
        <v>11051</v>
      </c>
      <c r="D79" s="30">
        <v>83.57</v>
      </c>
      <c r="E79" s="31" t="s">
        <v>18</v>
      </c>
      <c r="F79" s="32"/>
      <c r="G79" s="18">
        <f t="shared" si="1"/>
        <v>0</v>
      </c>
      <c r="H79" s="18"/>
      <c r="I79"/>
      <c r="J79"/>
      <c r="K79"/>
      <c r="L79"/>
      <c r="M79"/>
      <c r="N79"/>
      <c r="O79"/>
      <c r="P79"/>
      <c r="Q79"/>
      <c r="R79"/>
      <c r="S79"/>
      <c r="T79"/>
    </row>
    <row r="80" spans="1:20" ht="12.75" outlineLevel="4">
      <c r="A80"/>
      <c r="B80" s="28" t="str">
        <f>HYPERLINK("http://nashsad.ru/images/goods/big/00000009182.jpg","Санта Клаус 1 шт.")</f>
        <v>Санта Клаус 1 шт.</v>
      </c>
      <c r="C80" s="29">
        <v>9182</v>
      </c>
      <c r="D80" s="30">
        <v>152.1</v>
      </c>
      <c r="E80" s="31" t="s">
        <v>18</v>
      </c>
      <c r="F80" s="32"/>
      <c r="G80" s="18">
        <f t="shared" si="1"/>
        <v>0</v>
      </c>
      <c r="H80" s="18" t="str">
        <f>HYPERLINK("http://nashsad.ru/images/goods/big/00000009182.jpg","http://nashsad.ru/images/goods/big/00000009182.jpg")</f>
        <v>http://nashsad.ru/images/goods/big/00000009182.jpg</v>
      </c>
      <c r="I80"/>
      <c r="J80"/>
      <c r="K80"/>
      <c r="L80"/>
      <c r="M80"/>
      <c r="N80"/>
      <c r="O80"/>
      <c r="P80"/>
      <c r="Q80"/>
      <c r="R80"/>
      <c r="S80"/>
      <c r="T80"/>
    </row>
    <row r="81" spans="1:20" ht="12.75" outlineLevel="4">
      <c r="A81"/>
      <c r="B81" s="28" t="str">
        <f>HYPERLINK("http://nashsad.ru/images/goods/big/00000010535.jpg","Селина Декоративная 1 шт вишневая")</f>
        <v>Селина Декоративная 1 шт вишневая</v>
      </c>
      <c r="C81" s="29">
        <v>10535</v>
      </c>
      <c r="D81" s="30">
        <v>152.1</v>
      </c>
      <c r="E81" s="31" t="s">
        <v>18</v>
      </c>
      <c r="F81" s="32"/>
      <c r="G81" s="18">
        <f t="shared" si="1"/>
        <v>0</v>
      </c>
      <c r="H81" s="18" t="str">
        <f>HYPERLINK("http://nashsad.ru/images/goods/big/00000010535.jpg","http://nashsad.ru/images/goods/big/00000010535.jpg")</f>
        <v>http://nashsad.ru/images/goods/big/00000010535.jpg</v>
      </c>
      <c r="I81"/>
      <c r="J81"/>
      <c r="K81"/>
      <c r="L81"/>
      <c r="M81"/>
      <c r="N81"/>
      <c r="O81"/>
      <c r="P81"/>
      <c r="Q81"/>
      <c r="R81"/>
      <c r="S81"/>
      <c r="T81"/>
    </row>
    <row r="82" spans="1:20" ht="12.75" outlineLevel="4">
      <c r="A82"/>
      <c r="B82" s="28" t="s">
        <v>43</v>
      </c>
      <c r="C82" s="29">
        <v>8309</v>
      </c>
      <c r="D82" s="30">
        <v>122.9</v>
      </c>
      <c r="E82" s="31" t="s">
        <v>18</v>
      </c>
      <c r="F82" s="32"/>
      <c r="G82" s="18">
        <f t="shared" si="1"/>
        <v>0</v>
      </c>
      <c r="H82" s="18"/>
      <c r="I82"/>
      <c r="J82"/>
      <c r="K82"/>
      <c r="L82"/>
      <c r="M82"/>
      <c r="N82"/>
      <c r="O82"/>
      <c r="P82"/>
      <c r="Q82"/>
      <c r="R82"/>
      <c r="S82"/>
      <c r="T82"/>
    </row>
    <row r="83" spans="1:20" ht="12.75" outlineLevel="4">
      <c r="A83"/>
      <c r="B83" s="28" t="str">
        <f>HYPERLINK("http://nashsad.ru/images/goods/big/00000008423.jpg","Смоуки Декоративная 1 шт бело-фиол")</f>
        <v>Смоуки Декоративная 1 шт бело-фиол</v>
      </c>
      <c r="C83" s="29">
        <v>8423</v>
      </c>
      <c r="D83" s="30">
        <v>122.9</v>
      </c>
      <c r="E83" s="31" t="s">
        <v>18</v>
      </c>
      <c r="F83" s="32"/>
      <c r="G83" s="18">
        <f t="shared" si="1"/>
        <v>0</v>
      </c>
      <c r="H83" s="18" t="str">
        <f>HYPERLINK("http://nashsad.ru/images/goods/big/00000008423.jpg","http://nashsad.ru/images/goods/big/00000008423.jpg")</f>
        <v>http://nashsad.ru/images/goods/big/00000008423.jpg</v>
      </c>
      <c r="I83"/>
      <c r="J83"/>
      <c r="K83"/>
      <c r="L83"/>
      <c r="M83"/>
      <c r="N83"/>
      <c r="O83"/>
      <c r="P83"/>
      <c r="Q83"/>
      <c r="R83"/>
      <c r="S83"/>
      <c r="T83"/>
    </row>
    <row r="84" spans="1:20" ht="12.75" outlineLevel="4">
      <c r="A84"/>
      <c r="B84" s="28" t="s">
        <v>44</v>
      </c>
      <c r="C84" s="29">
        <v>8424</v>
      </c>
      <c r="D84" s="30">
        <v>135.2</v>
      </c>
      <c r="E84" s="31" t="s">
        <v>18</v>
      </c>
      <c r="F84" s="32"/>
      <c r="G84" s="18">
        <f t="shared" si="1"/>
        <v>0</v>
      </c>
      <c r="H84" s="18"/>
      <c r="I84"/>
      <c r="J84"/>
      <c r="K84"/>
      <c r="L84"/>
      <c r="M84"/>
      <c r="N84"/>
      <c r="O84"/>
      <c r="P84"/>
      <c r="Q84"/>
      <c r="R84"/>
      <c r="S84"/>
      <c r="T84"/>
    </row>
    <row r="85" spans="1:20" ht="12.75" outlineLevel="4">
      <c r="A85"/>
      <c r="B85" s="28" t="s">
        <v>45</v>
      </c>
      <c r="C85" s="29">
        <v>12714</v>
      </c>
      <c r="D85" s="30">
        <v>122.9</v>
      </c>
      <c r="E85" s="31" t="s">
        <v>18</v>
      </c>
      <c r="F85" s="32"/>
      <c r="G85" s="18">
        <f t="shared" si="1"/>
        <v>0</v>
      </c>
      <c r="H85" s="18"/>
      <c r="I85"/>
      <c r="J85"/>
      <c r="K85"/>
      <c r="L85"/>
      <c r="M85"/>
      <c r="N85"/>
      <c r="O85"/>
      <c r="P85"/>
      <c r="Q85"/>
      <c r="R85"/>
      <c r="S85"/>
      <c r="T85"/>
    </row>
    <row r="86" spans="1:20" ht="12.75" outlineLevel="4">
      <c r="A86"/>
      <c r="B86" s="28" t="s">
        <v>46</v>
      </c>
      <c r="C86" s="29">
        <v>8318</v>
      </c>
      <c r="D86" s="30">
        <v>135.2</v>
      </c>
      <c r="E86" s="31" t="s">
        <v>18</v>
      </c>
      <c r="F86" s="32"/>
      <c r="G86" s="18">
        <f t="shared" si="1"/>
        <v>0</v>
      </c>
      <c r="H86" s="18"/>
      <c r="I86"/>
      <c r="J86"/>
      <c r="K86"/>
      <c r="L86"/>
      <c r="M86"/>
      <c r="N86"/>
      <c r="O86"/>
      <c r="P86"/>
      <c r="Q86"/>
      <c r="R86"/>
      <c r="S86"/>
      <c r="T86"/>
    </row>
    <row r="87" spans="1:20" ht="12.75" outlineLevel="4">
      <c r="A87"/>
      <c r="B87" s="28" t="s">
        <v>47</v>
      </c>
      <c r="C87" s="29">
        <v>10513</v>
      </c>
      <c r="D87" s="30">
        <v>135.2</v>
      </c>
      <c r="E87" s="31" t="s">
        <v>18</v>
      </c>
      <c r="F87" s="32"/>
      <c r="G87" s="18">
        <f t="shared" si="1"/>
        <v>0</v>
      </c>
      <c r="H87" s="18"/>
      <c r="I87"/>
      <c r="J87"/>
      <c r="K87"/>
      <c r="L87"/>
      <c r="M87"/>
      <c r="N87"/>
      <c r="O87"/>
      <c r="P87"/>
      <c r="Q87"/>
      <c r="R87"/>
      <c r="S87"/>
      <c r="T87"/>
    </row>
    <row r="88" spans="1:20" ht="12.75" outlineLevel="4">
      <c r="A88"/>
      <c r="B88" s="28" t="s">
        <v>48</v>
      </c>
      <c r="C88" s="29">
        <v>12717</v>
      </c>
      <c r="D88" s="30">
        <v>119.8</v>
      </c>
      <c r="E88" s="31" t="s">
        <v>18</v>
      </c>
      <c r="F88" s="32"/>
      <c r="G88" s="18">
        <f t="shared" si="1"/>
        <v>0</v>
      </c>
      <c r="H88" s="18"/>
      <c r="I88"/>
      <c r="J88"/>
      <c r="K88"/>
      <c r="L88"/>
      <c r="M88"/>
      <c r="N88"/>
      <c r="O88"/>
      <c r="P88"/>
      <c r="Q88"/>
      <c r="R88"/>
      <c r="S88"/>
      <c r="T88"/>
    </row>
    <row r="89" spans="1:20" ht="12.75" outlineLevel="4">
      <c r="A89"/>
      <c r="B89" s="28" t="s">
        <v>49</v>
      </c>
      <c r="C89" s="29">
        <v>12718</v>
      </c>
      <c r="D89" s="30">
        <v>152.1</v>
      </c>
      <c r="E89" s="31" t="s">
        <v>18</v>
      </c>
      <c r="F89" s="32"/>
      <c r="G89" s="18">
        <f t="shared" si="1"/>
        <v>0</v>
      </c>
      <c r="H89" s="18"/>
      <c r="I89"/>
      <c r="J89"/>
      <c r="K89"/>
      <c r="L89"/>
      <c r="M89"/>
      <c r="N89"/>
      <c r="O89"/>
      <c r="P89"/>
      <c r="Q89"/>
      <c r="R89"/>
      <c r="S89"/>
      <c r="T89"/>
    </row>
    <row r="90" spans="1:20" ht="12.75" outlineLevel="4">
      <c r="A90"/>
      <c r="B90" s="28" t="s">
        <v>50</v>
      </c>
      <c r="C90" s="29">
        <v>12719</v>
      </c>
      <c r="D90" s="30">
        <v>152.1</v>
      </c>
      <c r="E90" s="31" t="s">
        <v>18</v>
      </c>
      <c r="F90" s="32"/>
      <c r="G90" s="18">
        <f t="shared" si="1"/>
        <v>0</v>
      </c>
      <c r="H90" s="18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 outlineLevel="4">
      <c r="A91"/>
      <c r="B91" s="28" t="s">
        <v>51</v>
      </c>
      <c r="C91" s="29">
        <v>12715</v>
      </c>
      <c r="D91" s="30">
        <v>122.9</v>
      </c>
      <c r="E91" s="31" t="s">
        <v>18</v>
      </c>
      <c r="F91" s="32"/>
      <c r="G91" s="18">
        <f t="shared" si="1"/>
        <v>0</v>
      </c>
      <c r="H91" s="18"/>
      <c r="I91"/>
      <c r="J91"/>
      <c r="K91"/>
      <c r="L91"/>
      <c r="M91"/>
      <c r="N91"/>
      <c r="O91"/>
      <c r="P91"/>
      <c r="Q91"/>
      <c r="R91"/>
      <c r="S91"/>
      <c r="T91"/>
    </row>
    <row r="92" spans="1:20" ht="12.75" outlineLevel="4">
      <c r="A92"/>
      <c r="B92" s="28" t="s">
        <v>52</v>
      </c>
      <c r="C92" s="29">
        <v>10514</v>
      </c>
      <c r="D92" s="30">
        <v>122.9</v>
      </c>
      <c r="E92" s="31" t="s">
        <v>18</v>
      </c>
      <c r="F92" s="32"/>
      <c r="G92" s="18">
        <f t="shared" si="1"/>
        <v>0</v>
      </c>
      <c r="H92" s="18"/>
      <c r="I92"/>
      <c r="J92"/>
      <c r="K92"/>
      <c r="L92"/>
      <c r="M92"/>
      <c r="N92"/>
      <c r="O92"/>
      <c r="P92"/>
      <c r="Q92"/>
      <c r="R92"/>
      <c r="S92"/>
      <c r="T92"/>
    </row>
    <row r="93" spans="1:20" ht="12.75" outlineLevel="4">
      <c r="A93"/>
      <c r="B93" s="28" t="str">
        <f>HYPERLINK("http://nashsad.ru/images/goods/big/00000012196.jpg","Фуззи Уиззи 1 шт.")</f>
        <v>Фуззи Уиззи 1 шт.</v>
      </c>
      <c r="C93" s="29">
        <v>12196</v>
      </c>
      <c r="D93" s="30">
        <v>135.2</v>
      </c>
      <c r="E93" s="31" t="s">
        <v>53</v>
      </c>
      <c r="F93" s="32"/>
      <c r="G93" s="18">
        <f t="shared" si="1"/>
        <v>0</v>
      </c>
      <c r="H93" s="18" t="str">
        <f>HYPERLINK("http://nashsad.ru/images/goods/big/00000012196.jpg","http://nashsad.ru/images/goods/big/00000012196.jpg")</f>
        <v>http://nashsad.ru/images/goods/big/00000012196.jpg</v>
      </c>
      <c r="I93"/>
      <c r="J93"/>
      <c r="K93"/>
      <c r="L93"/>
      <c r="M93"/>
      <c r="N93"/>
      <c r="O93"/>
      <c r="P93"/>
      <c r="Q93"/>
      <c r="R93"/>
      <c r="S93"/>
      <c r="T93"/>
    </row>
    <row r="94" spans="1:20" ht="12.75" outlineLevel="4">
      <c r="A94"/>
      <c r="B94" s="28" t="str">
        <f>HYPERLINK("http://nashsad.ru/images/goods/big/00000008425.jpg","Чат нуар кактус красн 1 шт")</f>
        <v>Чат нуар кактус красн 1 шт</v>
      </c>
      <c r="C94" s="29">
        <v>8425</v>
      </c>
      <c r="D94" s="30">
        <v>152.1</v>
      </c>
      <c r="E94" s="31" t="s">
        <v>18</v>
      </c>
      <c r="F94" s="32"/>
      <c r="G94" s="18">
        <f t="shared" si="1"/>
        <v>0</v>
      </c>
      <c r="H94" s="18" t="str">
        <f>HYPERLINK("http://nashsad.ru/images/goods/big/00000008425.jpg","http://nashsad.ru/images/goods/big/00000008425.jpg")</f>
        <v>http://nashsad.ru/images/goods/big/00000008425.jpg</v>
      </c>
      <c r="I94"/>
      <c r="J94"/>
      <c r="K94"/>
      <c r="L94"/>
      <c r="M94"/>
      <c r="N94"/>
      <c r="O94"/>
      <c r="P94"/>
      <c r="Q94"/>
      <c r="R94"/>
      <c r="S94"/>
      <c r="T94"/>
    </row>
    <row r="95" spans="1:20" ht="12.75" outlineLevel="4">
      <c r="A95"/>
      <c r="B95" s="28" t="str">
        <f>HYPERLINK("http://nashsad.ru/images/goods/big/00000008305.jpg","Шутинг стар кактус 1 шт розов")</f>
        <v>Шутинг стар кактус 1 шт розов</v>
      </c>
      <c r="C95" s="29">
        <v>8305</v>
      </c>
      <c r="D95" s="30">
        <v>119.8</v>
      </c>
      <c r="E95" s="31" t="s">
        <v>18</v>
      </c>
      <c r="F95" s="32"/>
      <c r="G95" s="18">
        <f t="shared" si="1"/>
        <v>0</v>
      </c>
      <c r="H95" s="18" t="str">
        <f>HYPERLINK("http://nashsad.ru/images/goods/big/00000008305.jpg","http://nashsad.ru/images/goods/big/00000008305.jpg")</f>
        <v>http://nashsad.ru/images/goods/big/00000008305.jpg</v>
      </c>
      <c r="I95"/>
      <c r="J95"/>
      <c r="K95"/>
      <c r="L95"/>
      <c r="M95"/>
      <c r="N95"/>
      <c r="O95"/>
      <c r="P95"/>
      <c r="Q95"/>
      <c r="R95"/>
      <c r="S95"/>
      <c r="T95"/>
    </row>
    <row r="96" spans="1:20" ht="13.5" outlineLevel="3">
      <c r="A96"/>
      <c r="B96" s="25" t="s">
        <v>54</v>
      </c>
      <c r="C96" s="26"/>
      <c r="D96" s="27"/>
      <c r="E96" s="27"/>
      <c r="F96" s="18"/>
      <c r="G96" s="18"/>
      <c r="H96" s="18"/>
      <c r="I96"/>
      <c r="J96"/>
      <c r="K96"/>
      <c r="L96"/>
      <c r="M96"/>
      <c r="N96"/>
      <c r="O96"/>
      <c r="P96"/>
      <c r="Q96"/>
      <c r="R96"/>
      <c r="S96"/>
      <c r="T96"/>
    </row>
    <row r="97" spans="1:20" ht="12.75" outlineLevel="4">
      <c r="A97"/>
      <c r="B97" s="28" t="str">
        <f>HYPERLINK("http://nashsad.ru/images/goods/big/00000011590.jpg","Адреналин роз-крас ГОФР 10 шт 14+")</f>
        <v>Адреналин роз-крас ГОФР 10 шт 14+</v>
      </c>
      <c r="C97" s="29">
        <v>11590</v>
      </c>
      <c r="D97" s="30">
        <v>219.6</v>
      </c>
      <c r="E97" s="31" t="s">
        <v>18</v>
      </c>
      <c r="F97" s="32"/>
      <c r="G97" s="18">
        <f aca="true" t="shared" si="2" ref="G97:G135">D97*F97</f>
        <v>0</v>
      </c>
      <c r="H97" s="18" t="str">
        <f>HYPERLINK("http://nashsad.ru/images/goods/big/00000011590.jpg","http://nashsad.ru/images/goods/big/00000011590.jpg")</f>
        <v>http://nashsad.ru/images/goods/big/00000011590.jpg</v>
      </c>
      <c r="I97"/>
      <c r="J97"/>
      <c r="K97"/>
      <c r="L97"/>
      <c r="M97"/>
      <c r="N97"/>
      <c r="O97"/>
      <c r="P97"/>
      <c r="Q97"/>
      <c r="R97"/>
      <c r="S97"/>
      <c r="T97"/>
    </row>
    <row r="98" spans="1:20" ht="12.75" outlineLevel="4">
      <c r="A98"/>
      <c r="B98" s="28" t="str">
        <f>HYPERLINK("http://nashsad.ru/images/goods/big/00000008271.jpg","Афте шок 10 шт корал-крас14+")</f>
        <v>Афте шок 10 шт корал-крас14+</v>
      </c>
      <c r="C98" s="29">
        <v>8271</v>
      </c>
      <c r="D98" s="30">
        <v>201.2</v>
      </c>
      <c r="E98" s="31" t="s">
        <v>18</v>
      </c>
      <c r="F98" s="32"/>
      <c r="G98" s="18">
        <f t="shared" si="2"/>
        <v>0</v>
      </c>
      <c r="H98" s="18" t="str">
        <f>HYPERLINK("http://nashsad.ru/images/goods/big/00000008271.jpg","http://nashsad.ru/images/goods/big/00000008271.jpg")</f>
        <v>http://nashsad.ru/images/goods/big/00000008271.jpg</v>
      </c>
      <c r="I98"/>
      <c r="J98"/>
      <c r="K98"/>
      <c r="L98"/>
      <c r="M98"/>
      <c r="N98"/>
      <c r="O98"/>
      <c r="P98"/>
      <c r="Q98"/>
      <c r="R98"/>
      <c r="S98"/>
      <c r="T98"/>
    </row>
    <row r="99" spans="1:20" ht="12.75" outlineLevel="4">
      <c r="A99"/>
      <c r="B99" s="28" t="str">
        <f>HYPERLINK("http://nashsad.ru/images/goods/big/00000010920.jpg","Блю Маунтайн 5 шт голуб 12+")</f>
        <v>Блю Маунтайн 5 шт голуб 12+</v>
      </c>
      <c r="C99" s="29">
        <v>10920</v>
      </c>
      <c r="D99" s="30">
        <v>95.2</v>
      </c>
      <c r="E99" s="31" t="s">
        <v>18</v>
      </c>
      <c r="F99" s="32"/>
      <c r="G99" s="18">
        <f t="shared" si="2"/>
        <v>0</v>
      </c>
      <c r="H99" s="18" t="str">
        <f>HYPERLINK("http://nashsad.ru/images/goods/big/00000010920.jpg","http://nashsad.ru/images/goods/big/00000010920.jpg")</f>
        <v>http://nashsad.ru/images/goods/big/00000010920.jpg</v>
      </c>
      <c r="I99"/>
      <c r="J99"/>
      <c r="K99"/>
      <c r="L99"/>
      <c r="M99"/>
      <c r="N99"/>
      <c r="O99"/>
      <c r="P99"/>
      <c r="Q99"/>
      <c r="R99"/>
      <c r="S99"/>
      <c r="T99"/>
    </row>
    <row r="100" spans="1:20" ht="12.75" outlineLevel="4">
      <c r="A100"/>
      <c r="B100" s="28" t="str">
        <f>HYPERLINK("http://nashsad.ru/images/goods/big/00000010520.jpg","Вайн энд розес розов с красн пятном 14+ 10 шт")</f>
        <v>Вайн энд розес розов с красн пятном 14+ 10 шт</v>
      </c>
      <c r="C100" s="29">
        <v>10520</v>
      </c>
      <c r="D100" s="30">
        <v>152.1</v>
      </c>
      <c r="E100" s="31" t="s">
        <v>18</v>
      </c>
      <c r="F100" s="32"/>
      <c r="G100" s="18">
        <f t="shared" si="2"/>
        <v>0</v>
      </c>
      <c r="H100" s="18" t="str">
        <f>HYPERLINK("http://nashsad.ru/images/goods/big/00000010520.jpg","http://nashsad.ru/images/goods/big/00000010520.jpg")</f>
        <v>http://nashsad.ru/images/goods/big/00000010520.jpg</v>
      </c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2.75" outlineLevel="4">
      <c r="A101"/>
      <c r="B101" s="28" t="str">
        <f>HYPERLINK("http://nashsad.ru/images/goods/big/00000011592.jpg","Вандохла 10 шт1 14+")</f>
        <v>Вандохла 10 шт1 14+</v>
      </c>
      <c r="C101" s="29">
        <v>11592</v>
      </c>
      <c r="D101" s="30">
        <v>213.5</v>
      </c>
      <c r="E101" s="31" t="s">
        <v>18</v>
      </c>
      <c r="F101" s="32"/>
      <c r="G101" s="18">
        <f t="shared" si="2"/>
        <v>0</v>
      </c>
      <c r="H101" s="18" t="str">
        <f>HYPERLINK("http://nashsad.ru/images/goods/big/00000011592.jpg","http://nashsad.ru/images/goods/big/00000011592.jpg")</f>
        <v>http://nashsad.ru/images/goods/big/00000011592.jpg</v>
      </c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2.75" outlineLevel="4">
      <c r="A102"/>
      <c r="B102" s="28" t="str">
        <f>HYPERLINK("http://nashsad.ru/images/goods/big/00000008277.jpg","Джестер 5 шт желт-бел14+")</f>
        <v>Джестер 5 шт желт-бел14+</v>
      </c>
      <c r="C102" s="29">
        <v>8277</v>
      </c>
      <c r="D102" s="30">
        <v>95.2</v>
      </c>
      <c r="E102" s="31" t="s">
        <v>18</v>
      </c>
      <c r="F102" s="32"/>
      <c r="G102" s="18">
        <f t="shared" si="2"/>
        <v>0</v>
      </c>
      <c r="H102" s="18" t="str">
        <f>HYPERLINK("http://nashsad.ru/images/goods/big/00000008277.jpg","http://nashsad.ru/images/goods/big/00000008277.jpg")</f>
        <v>http://nashsad.ru/images/goods/big/00000008277.jpg</v>
      </c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2.75" outlineLevel="4">
      <c r="A103"/>
      <c r="B103" s="28" t="str">
        <f>HYPERLINK("http://nashsad.ru/images/goods/big/00000010509.jpg","Евергрин10 шт зеленый14+")</f>
        <v>Евергрин10 шт зеленый14+</v>
      </c>
      <c r="C103" s="29">
        <v>10509</v>
      </c>
      <c r="D103" s="30">
        <v>201.2</v>
      </c>
      <c r="E103" s="31" t="s">
        <v>18</v>
      </c>
      <c r="F103" s="32"/>
      <c r="G103" s="18">
        <f t="shared" si="2"/>
        <v>0</v>
      </c>
      <c r="H103" s="18" t="str">
        <f>HYPERLINK("http://nashsad.ru/images/goods/big/00000010509.jpg","http://nashsad.ru/images/goods/big/00000010509.jpg")</f>
        <v>http://nashsad.ru/images/goods/big/00000010509.jpg</v>
      </c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2.75" outlineLevel="4">
      <c r="A104"/>
      <c r="B104" s="28" t="str">
        <f>HYPERLINK("http://nashsad.ru/images/goods/big/00000008274.jpg","Зизанье 10 шт ало-белый14+")</f>
        <v>Зизанье 10 шт ало-белый14+</v>
      </c>
      <c r="C104" s="29">
        <v>8274</v>
      </c>
      <c r="D104" s="30">
        <v>213.5</v>
      </c>
      <c r="E104" s="31" t="s">
        <v>18</v>
      </c>
      <c r="F104" s="32"/>
      <c r="G104" s="18">
        <f t="shared" si="2"/>
        <v>0</v>
      </c>
      <c r="H104" s="18" t="str">
        <f>HYPERLINK("http://nashsad.ru/images/goods/big/00000008274.jpg","http://nashsad.ru/images/goods/big/00000008274.jpg")</f>
        <v>http://nashsad.ru/images/goods/big/00000008274.jpg</v>
      </c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2.75" outlineLevel="4">
      <c r="A105"/>
      <c r="B105" s="28" t="str">
        <f>HYPERLINK("http://nashsad.ru/images/goods/big/00000008279.jpg","Индиан саммер 10 шт.  14+")</f>
        <v>Индиан саммер 10 шт.  14+</v>
      </c>
      <c r="C105" s="29">
        <v>8279</v>
      </c>
      <c r="D105" s="30">
        <v>219.6</v>
      </c>
      <c r="E105" s="31" t="s">
        <v>18</v>
      </c>
      <c r="F105" s="32"/>
      <c r="G105" s="18">
        <f t="shared" si="2"/>
        <v>0</v>
      </c>
      <c r="H105" s="18" t="str">
        <f>HYPERLINK("http://nashsad.ru/images/goods/big/00000008279.jpg","http://nashsad.ru/images/goods/big/00000008279.jpg")</f>
        <v>http://nashsad.ru/images/goods/big/00000008279.jpg</v>
      </c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2.75" outlineLevel="4">
      <c r="A106"/>
      <c r="B106" s="28" t="s">
        <v>55</v>
      </c>
      <c r="C106" s="29">
        <v>12711</v>
      </c>
      <c r="D106" s="30">
        <v>207.4</v>
      </c>
      <c r="E106" s="31" t="s">
        <v>18</v>
      </c>
      <c r="F106" s="32"/>
      <c r="G106" s="18">
        <f t="shared" si="2"/>
        <v>0</v>
      </c>
      <c r="H106" s="18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2.75" outlineLevel="4">
      <c r="A107"/>
      <c r="B107" s="28" t="str">
        <f>HYPERLINK("http://nashsad.ru/images/goods/big/00000010507.jpg","Котэ Д Азур 10 шт нежнофиол.14+")</f>
        <v>Котэ Д Азур 10 шт нежнофиол.14+</v>
      </c>
      <c r="C107" s="29">
        <v>10507</v>
      </c>
      <c r="D107" s="30">
        <v>201.2</v>
      </c>
      <c r="E107" s="31" t="s">
        <v>18</v>
      </c>
      <c r="F107" s="32"/>
      <c r="G107" s="18">
        <f t="shared" si="2"/>
        <v>0</v>
      </c>
      <c r="H107" s="18" t="str">
        <f>HYPERLINK("http://nashsad.ru/images/goods/big/00000010507.jpg","http://nashsad.ru/images/goods/big/00000010507.jpg")</f>
        <v>http://nashsad.ru/images/goods/big/00000010507.jpg</v>
      </c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2.75" outlineLevel="4">
      <c r="A108"/>
      <c r="B108" s="28" t="str">
        <f>HYPERLINK("http://nashsad.ru/images/goods/big/00000009710.jpg","Маскагни 5 шт красн12+")</f>
        <v>Маскагни 5 шт красн12+</v>
      </c>
      <c r="C108" s="29">
        <v>9710</v>
      </c>
      <c r="D108" s="30">
        <v>81.4</v>
      </c>
      <c r="E108" s="31" t="s">
        <v>18</v>
      </c>
      <c r="F108" s="32"/>
      <c r="G108" s="18">
        <f t="shared" si="2"/>
        <v>0</v>
      </c>
      <c r="H108" s="18" t="str">
        <f>HYPERLINK("http://nashsad.ru/images/goods/big/00000009710.jpg","http://nashsad.ru/images/goods/big/00000009710.jpg")</f>
        <v>http://nashsad.ru/images/goods/big/00000009710.jpg</v>
      </c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2.75" outlineLevel="4">
      <c r="A109"/>
      <c r="B109" s="28" t="str">
        <f>HYPERLINK("http://nashsad.ru/images/goods/big/00000011834.jpg","Мурманск 10шт. белоснежн. 12/+")</f>
        <v>Мурманск 10шт. белоснежн. 12/+</v>
      </c>
      <c r="C109" s="29">
        <v>11834</v>
      </c>
      <c r="D109" s="30">
        <v>219.6</v>
      </c>
      <c r="E109" s="31" t="s">
        <v>18</v>
      </c>
      <c r="F109" s="32"/>
      <c r="G109" s="18">
        <f t="shared" si="2"/>
        <v>0</v>
      </c>
      <c r="H109" s="18" t="str">
        <f>HYPERLINK("http://nashsad.ru/images/goods/big/00000011834.jpg","http://nashsad.ru/images/goods/big/00000011834.jpg")</f>
        <v>http://nashsad.ru/images/goods/big/00000011834.jpg</v>
      </c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2.75" outlineLevel="4">
      <c r="A110"/>
      <c r="B110" s="28" t="str">
        <f>HYPERLINK("http://nashsad.ru/images/goods/big/00000011840.jpg","Нова Люкс 5 шт желтый 12+")</f>
        <v>Нова Люкс 5 шт желтый 12+</v>
      </c>
      <c r="C110" s="29">
        <v>11840</v>
      </c>
      <c r="D110" s="30">
        <v>81.4</v>
      </c>
      <c r="E110" s="31" t="s">
        <v>18</v>
      </c>
      <c r="F110" s="32"/>
      <c r="G110" s="18">
        <f t="shared" si="2"/>
        <v>0</v>
      </c>
      <c r="H110" s="18" t="str">
        <f>HYPERLINK("http://nashsad.ru/images/goods/big/00000011840.jpg","http://nashsad.ru/images/goods/big/00000011840.jpg")</f>
        <v>http://nashsad.ru/images/goods/big/00000011840.jpg</v>
      </c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2.75" outlineLevel="4">
      <c r="A111"/>
      <c r="B111" s="28" t="str">
        <f>HYPERLINK("http://nashsad.ru/images/goods/big/00000011828.jpg","Омск 10шт красн.вино. 12/+")</f>
        <v>Омск 10шт красн.вино. 12/+</v>
      </c>
      <c r="C111" s="29">
        <v>11828</v>
      </c>
      <c r="D111" s="30">
        <v>230.4</v>
      </c>
      <c r="E111" s="31" t="s">
        <v>18</v>
      </c>
      <c r="F111" s="32"/>
      <c r="G111" s="18">
        <f t="shared" si="2"/>
        <v>0</v>
      </c>
      <c r="H111" s="18" t="str">
        <f>HYPERLINK("http://nashsad.ru/images/goods/big/00000011828.jpg","http://nashsad.ru/images/goods/big/00000011828.jpg")</f>
        <v>http://nashsad.ru/images/goods/big/00000011828.jpg</v>
      </c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2.75" outlineLevel="4">
      <c r="A112"/>
      <c r="B112" s="28" t="s">
        <v>56</v>
      </c>
      <c r="C112" s="29">
        <v>8282</v>
      </c>
      <c r="D112" s="30">
        <v>201.2</v>
      </c>
      <c r="E112" s="31" t="s">
        <v>18</v>
      </c>
      <c r="F112" s="32"/>
      <c r="G112" s="18">
        <f t="shared" si="2"/>
        <v>0</v>
      </c>
      <c r="H112" s="18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2.75" outlineLevel="4">
      <c r="A113"/>
      <c r="B113" s="28" t="s">
        <v>57</v>
      </c>
      <c r="C113" s="29">
        <v>10916</v>
      </c>
      <c r="D113" s="30">
        <v>201.2</v>
      </c>
      <c r="E113" s="31" t="s">
        <v>18</v>
      </c>
      <c r="F113" s="32"/>
      <c r="G113" s="18">
        <f t="shared" si="2"/>
        <v>0</v>
      </c>
      <c r="H113" s="18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2.75" outlineLevel="4">
      <c r="A114"/>
      <c r="B114" s="28" t="str">
        <f>HYPERLINK("http://nashsad.ru/images/goods/big/00000011597.jpg","Прага 5 шт оран-роз12+")</f>
        <v>Прага 5 шт оран-роз12+</v>
      </c>
      <c r="C114" s="29">
        <v>11597</v>
      </c>
      <c r="D114" s="30">
        <v>81.4</v>
      </c>
      <c r="E114" s="31" t="s">
        <v>18</v>
      </c>
      <c r="F114" s="32"/>
      <c r="G114" s="18">
        <f t="shared" si="2"/>
        <v>0</v>
      </c>
      <c r="H114" s="18" t="str">
        <f>HYPERLINK("http://nashsad.ru/images/goods/big/00000011597.jpg","http://nashsad.ru/images/goods/big/00000011597.jpg")</f>
        <v>http://nashsad.ru/images/goods/big/00000011597.jpg</v>
      </c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2.75" outlineLevel="4">
      <c r="A115"/>
      <c r="B115" s="28" t="s">
        <v>58</v>
      </c>
      <c r="C115" s="29">
        <v>9711</v>
      </c>
      <c r="D115" s="30">
        <v>138.2</v>
      </c>
      <c r="E115" s="31" t="s">
        <v>18</v>
      </c>
      <c r="F115" s="32"/>
      <c r="G115" s="18">
        <f t="shared" si="2"/>
        <v>0</v>
      </c>
      <c r="H115" s="18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2.75" outlineLevel="4">
      <c r="A116"/>
      <c r="B116" s="28" t="str">
        <f>HYPERLINK("http://nashsad.ru/images/goods/big/00000011841.jpg","Рома 5 шт .12+")</f>
        <v>Рома 5 шт .12+</v>
      </c>
      <c r="C116" s="29">
        <v>11841</v>
      </c>
      <c r="D116" s="30">
        <v>95.2</v>
      </c>
      <c r="E116" s="31" t="s">
        <v>18</v>
      </c>
      <c r="F116" s="32"/>
      <c r="G116" s="18">
        <f t="shared" si="2"/>
        <v>0</v>
      </c>
      <c r="H116" s="18" t="str">
        <f>HYPERLINK("http://nashsad.ru/images/goods/big/00000011841.jpg","http://nashsad.ru/images/goods/big/00000011841.jpg")</f>
        <v>http://nashsad.ru/images/goods/big/00000011841.jpg</v>
      </c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2.75" outlineLevel="4">
      <c r="A117"/>
      <c r="B117" s="28" t="str">
        <f>HYPERLINK("http://nashsad.ru/images/goods/big/00000011829.jpg","Ростов 10 шт. пурпурн.12/+")</f>
        <v>Ростов 10 шт. пурпурн.12/+</v>
      </c>
      <c r="C117" s="29">
        <v>11829</v>
      </c>
      <c r="D117" s="30">
        <v>230.4</v>
      </c>
      <c r="E117" s="31" t="s">
        <v>18</v>
      </c>
      <c r="F117" s="32"/>
      <c r="G117" s="18">
        <f t="shared" si="2"/>
        <v>0</v>
      </c>
      <c r="H117" s="18" t="str">
        <f>HYPERLINK("http://nashsad.ru/images/goods/big/00000011829.jpg","http://nashsad.ru/images/goods/big/00000011829.jpg")</f>
        <v>http://nashsad.ru/images/goods/big/00000011829.jpg</v>
      </c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2.75" outlineLevel="4">
      <c r="A118"/>
      <c r="B118" s="28" t="s">
        <v>59</v>
      </c>
      <c r="C118" s="29">
        <v>10919</v>
      </c>
      <c r="D118" s="30">
        <v>135.2</v>
      </c>
      <c r="E118" s="31" t="s">
        <v>18</v>
      </c>
      <c r="F118" s="32"/>
      <c r="G118" s="18">
        <f t="shared" si="2"/>
        <v>0</v>
      </c>
      <c r="H118" s="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2.75" outlineLevel="4">
      <c r="A119"/>
      <c r="B119" s="28" t="str">
        <f>HYPERLINK("http://nashsad.ru/images/goods/big/00000011835.jpg","Самара 10шт. нежн.розов.12/+")</f>
        <v>Самара 10шт. нежн.розов.12/+</v>
      </c>
      <c r="C119" s="29">
        <v>11835</v>
      </c>
      <c r="D119" s="30">
        <v>219.6</v>
      </c>
      <c r="E119" s="31" t="s">
        <v>18</v>
      </c>
      <c r="F119" s="32"/>
      <c r="G119" s="18">
        <f t="shared" si="2"/>
        <v>0</v>
      </c>
      <c r="H119" s="18" t="str">
        <f>HYPERLINK("http://nashsad.ru/images/goods/big/00000011835.jpg","http://nashsad.ru/images/goods/big/00000011835.jpg")</f>
        <v>http://nashsad.ru/images/goods/big/00000011835.jpg</v>
      </c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2.75" outlineLevel="4">
      <c r="A120"/>
      <c r="B120" s="28" t="s">
        <v>60</v>
      </c>
      <c r="C120" s="29">
        <v>8292</v>
      </c>
      <c r="D120" s="30">
        <v>81.4</v>
      </c>
      <c r="E120" s="31" t="s">
        <v>18</v>
      </c>
      <c r="F120" s="32"/>
      <c r="G120" s="18">
        <f t="shared" si="2"/>
        <v>0</v>
      </c>
      <c r="H120" s="18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2.75" outlineLevel="4">
      <c r="A121"/>
      <c r="B121" s="28" t="s">
        <v>61</v>
      </c>
      <c r="C121" s="29">
        <v>12710</v>
      </c>
      <c r="D121" s="30">
        <v>135.2</v>
      </c>
      <c r="E121" s="31" t="s">
        <v>18</v>
      </c>
      <c r="F121" s="32"/>
      <c r="G121" s="18">
        <f t="shared" si="2"/>
        <v>0</v>
      </c>
      <c r="H121" s="18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2.75" outlineLevel="4">
      <c r="A122"/>
      <c r="B122" s="28" t="str">
        <f>HYPERLINK("http://nashsad.ru/images/goods/big/00000011830.jpg","Сочи 10шт. кремовый 12/+")</f>
        <v>Сочи 10шт. кремовый 12/+</v>
      </c>
      <c r="C122" s="29">
        <v>11830</v>
      </c>
      <c r="D122" s="30">
        <v>230.4</v>
      </c>
      <c r="E122" s="31" t="s">
        <v>18</v>
      </c>
      <c r="F122" s="32"/>
      <c r="G122" s="18">
        <f t="shared" si="2"/>
        <v>0</v>
      </c>
      <c r="H122" s="18" t="str">
        <f>HYPERLINK("http://nashsad.ru/images/goods/big/00000011830.jpg","http://nashsad.ru/images/goods/big/00000011830.jpg")</f>
        <v>http://nashsad.ru/images/goods/big/00000011830.jpg</v>
      </c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2.75" outlineLevel="4">
      <c r="A123"/>
      <c r="B123" s="28" t="str">
        <f>HYPERLINK("http://nashsad.ru/images/goods/big/00000008287.jpg","Спик энд спан 5 шт 12+")</f>
        <v>Спик энд спан 5 шт 12+</v>
      </c>
      <c r="C123" s="29">
        <v>8287</v>
      </c>
      <c r="D123" s="30">
        <v>82.9</v>
      </c>
      <c r="E123" s="31" t="s">
        <v>18</v>
      </c>
      <c r="F123" s="32"/>
      <c r="G123" s="18">
        <f t="shared" si="2"/>
        <v>0</v>
      </c>
      <c r="H123" s="18" t="str">
        <f>HYPERLINK("http://nashsad.ru/images/goods/big/00000008287.jpg","http://nashsad.ru/images/goods/big/00000008287.jpg")</f>
        <v>http://nashsad.ru/images/goods/big/00000008287.jpg</v>
      </c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2.75" outlineLevel="4">
      <c r="A124"/>
      <c r="B124" s="28" t="s">
        <v>62</v>
      </c>
      <c r="C124" s="29">
        <v>9166</v>
      </c>
      <c r="D124" s="30">
        <v>201.2</v>
      </c>
      <c r="E124" s="31" t="s">
        <v>18</v>
      </c>
      <c r="F124" s="32"/>
      <c r="G124" s="18">
        <f t="shared" si="2"/>
        <v>0</v>
      </c>
      <c r="H124" s="18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2.75" outlineLevel="4">
      <c r="A125"/>
      <c r="B125" s="28" t="str">
        <f>HYPERLINK("http://nashsad.ru/images/goods/big/00000009713.jpg","Традерхорм 10 шт алый 14+")</f>
        <v>Традерхорм 10 шт алый 14+</v>
      </c>
      <c r="C125" s="29">
        <v>9713</v>
      </c>
      <c r="D125" s="30">
        <v>135.2</v>
      </c>
      <c r="E125" s="31" t="s">
        <v>18</v>
      </c>
      <c r="F125" s="32"/>
      <c r="G125" s="18">
        <f t="shared" si="2"/>
        <v>0</v>
      </c>
      <c r="H125" s="18" t="str">
        <f>HYPERLINK("http://nashsad.ru/images/goods/big/00000009713.jpg","http://nashsad.ru/images/goods/big/00000009713.jpg")</f>
        <v>http://nashsad.ru/images/goods/big/00000009713.jpg</v>
      </c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2.75" outlineLevel="4">
      <c r="A126"/>
      <c r="B126" s="28" t="str">
        <f>HYPERLINK("http://nashsad.ru/images/goods/big/00000010921.jpg","Традерхорм 5 шт алый 12+")</f>
        <v>Традерхорм 5 шт алый 12+</v>
      </c>
      <c r="C126" s="29">
        <v>10921</v>
      </c>
      <c r="D126" s="30">
        <v>81.4</v>
      </c>
      <c r="E126" s="31" t="s">
        <v>18</v>
      </c>
      <c r="F126" s="32"/>
      <c r="G126" s="18">
        <f t="shared" si="2"/>
        <v>0</v>
      </c>
      <c r="H126" s="18" t="str">
        <f>HYPERLINK("http://nashsad.ru/images/goods/big/00000010921.jpg","http://nashsad.ru/images/goods/big/00000010921.jpg")</f>
        <v>http://nashsad.ru/images/goods/big/00000010921.jpg</v>
      </c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12.75" outlineLevel="4">
      <c r="A127"/>
      <c r="B127" s="28" t="str">
        <f>HYPERLINK("http://nashsad.ru/images/goods/big/00000011836.jpg","Тула 10шт. кремовый 12/+")</f>
        <v>Тула 10шт. кремовый 12/+</v>
      </c>
      <c r="C127" s="29">
        <v>11836</v>
      </c>
      <c r="D127" s="30">
        <v>219.6</v>
      </c>
      <c r="E127" s="31" t="s">
        <v>18</v>
      </c>
      <c r="F127" s="32"/>
      <c r="G127" s="18">
        <f t="shared" si="2"/>
        <v>0</v>
      </c>
      <c r="H127" s="18" t="str">
        <f>HYPERLINK("http://nashsad.ru/images/goods/big/00000011836.jpg","http://nashsad.ru/images/goods/big/00000011836.jpg")</f>
        <v>http://nashsad.ru/images/goods/big/00000011836.jpg</v>
      </c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2.75" outlineLevel="4">
      <c r="A128"/>
      <c r="B128" s="28" t="str">
        <f>HYPERLINK("http://nashsad.ru/images/goods/big/00000010922.jpg","Уайт просперити 5 шт белый 12+")</f>
        <v>Уайт просперити 5 шт белый 12+</v>
      </c>
      <c r="C128" s="29">
        <v>10922</v>
      </c>
      <c r="D128" s="30">
        <v>82.9</v>
      </c>
      <c r="E128" s="31" t="s">
        <v>18</v>
      </c>
      <c r="F128" s="32"/>
      <c r="G128" s="18">
        <f t="shared" si="2"/>
        <v>0</v>
      </c>
      <c r="H128" s="18" t="str">
        <f>HYPERLINK("http://nashsad.ru/images/goods/big/00000010922.jpg","http://nashsad.ru/images/goods/big/00000010922.jpg")</f>
        <v>http://nashsad.ru/images/goods/big/00000010922.jpg</v>
      </c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2.75" outlineLevel="4">
      <c r="A129"/>
      <c r="B129" s="28" t="str">
        <f>HYPERLINK("http://nashsad.ru/images/goods/big/00000012199.jpg","Фанни фиктион 10 шт 14+")</f>
        <v>Фанни фиктион 10 шт 14+</v>
      </c>
      <c r="C129" s="29">
        <v>12199</v>
      </c>
      <c r="D129" s="30">
        <v>219.6</v>
      </c>
      <c r="E129" s="31" t="s">
        <v>18</v>
      </c>
      <c r="F129" s="32"/>
      <c r="G129" s="18">
        <f t="shared" si="2"/>
        <v>0</v>
      </c>
      <c r="H129" s="18" t="str">
        <f>HYPERLINK("http://nashsad.ru/images/goods/big/00000012199.jpg","http://nashsad.ru/images/goods/big/00000012199.jpg")</f>
        <v>http://nashsad.ru/images/goods/big/00000012199.jpg</v>
      </c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12.75" outlineLevel="4">
      <c r="A130"/>
      <c r="B130" s="28" t="s">
        <v>63</v>
      </c>
      <c r="C130" s="29">
        <v>12709</v>
      </c>
      <c r="D130" s="30">
        <v>207.4</v>
      </c>
      <c r="E130" s="31" t="s">
        <v>18</v>
      </c>
      <c r="F130" s="32"/>
      <c r="G130" s="18">
        <f t="shared" si="2"/>
        <v>0</v>
      </c>
      <c r="H130" s="18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2.75" outlineLevel="4">
      <c r="A131"/>
      <c r="B131" s="28" t="str">
        <f>HYPERLINK("http://nashsad.ru/images/goods/big/00000011838.jpg","Фиорентина 5 шт  12+")</f>
        <v>Фиорентина 5 шт  12+</v>
      </c>
      <c r="C131" s="29">
        <v>11838</v>
      </c>
      <c r="D131" s="30">
        <v>104.4</v>
      </c>
      <c r="E131" s="31" t="s">
        <v>18</v>
      </c>
      <c r="F131" s="32"/>
      <c r="G131" s="18">
        <f t="shared" si="2"/>
        <v>0</v>
      </c>
      <c r="H131" s="18" t="str">
        <f>HYPERLINK("http://nashsad.ru/images/goods/big/00000011838.jpg","http://nashsad.ru/images/goods/big/00000011838.jpg")</f>
        <v>http://nashsad.ru/images/goods/big/00000011838.jpg</v>
      </c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2.75" outlineLevel="4">
      <c r="A132"/>
      <c r="B132" s="28" t="str">
        <f>HYPERLINK("http://nashsad.ru/images/goods/big/00000011591.jpg","Хоумкаминг10 шт бел/фиол 14+")</f>
        <v>Хоумкаминг10 шт бел/фиол 14+</v>
      </c>
      <c r="C132" s="29">
        <v>11591</v>
      </c>
      <c r="D132" s="30">
        <v>195.1</v>
      </c>
      <c r="E132" s="31" t="s">
        <v>18</v>
      </c>
      <c r="F132" s="32"/>
      <c r="G132" s="18">
        <f t="shared" si="2"/>
        <v>0</v>
      </c>
      <c r="H132" s="18" t="str">
        <f>HYPERLINK("http://nashsad.ru/images/goods/big/00000011591.jpg","http://nashsad.ru/images/goods/big/00000011591.jpg")</f>
        <v>http://nashsad.ru/images/goods/big/00000011591.jpg</v>
      </c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12.75" outlineLevel="4">
      <c r="A133"/>
      <c r="B133" s="28" t="str">
        <f>HYPERLINK("http://nashsad.ru/images/goods/big/00000012200.jpg","Шака зулу 10шт. 12+")</f>
        <v>Шака зулу 10шт. 12+</v>
      </c>
      <c r="C133" s="29">
        <v>12200</v>
      </c>
      <c r="D133" s="30">
        <v>219.6</v>
      </c>
      <c r="E133" s="31" t="s">
        <v>18</v>
      </c>
      <c r="F133" s="32"/>
      <c r="G133" s="18">
        <f t="shared" si="2"/>
        <v>0</v>
      </c>
      <c r="H133" s="18" t="str">
        <f>HYPERLINK("http://nashsad.ru/images/goods/big/00000012200.jpg","http://nashsad.ru/images/goods/big/00000012200.jpg")</f>
        <v>http://nashsad.ru/images/goods/big/00000012200.jpg</v>
      </c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2.75" outlineLevel="4">
      <c r="A134"/>
      <c r="B134" s="28" t="s">
        <v>64</v>
      </c>
      <c r="C134" s="29">
        <v>12708</v>
      </c>
      <c r="D134" s="30">
        <v>207.4</v>
      </c>
      <c r="E134" s="31" t="s">
        <v>18</v>
      </c>
      <c r="F134" s="32"/>
      <c r="G134" s="18">
        <f t="shared" si="2"/>
        <v>0</v>
      </c>
      <c r="H134" s="18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2.75" outlineLevel="4">
      <c r="A135"/>
      <c r="B135" s="28" t="str">
        <f>HYPERLINK("http://nashsad.ru/images/goods/big/00000011837.jpg","Эспрессо 5 шт коричнев 12+")</f>
        <v>Эспрессо 5 шт коричнев 12+</v>
      </c>
      <c r="C135" s="29">
        <v>11837</v>
      </c>
      <c r="D135" s="30">
        <v>101.4</v>
      </c>
      <c r="E135" s="31" t="s">
        <v>18</v>
      </c>
      <c r="F135" s="32"/>
      <c r="G135" s="18">
        <f t="shared" si="2"/>
        <v>0</v>
      </c>
      <c r="H135" s="18" t="str">
        <f>HYPERLINK("http://nashsad.ru/images/goods/big/00000011837.jpg","http://nashsad.ru/images/goods/big/00000011837.jpg")</f>
        <v>http://nashsad.ru/images/goods/big/00000011837.jpg</v>
      </c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3.5" outlineLevel="3">
      <c r="A136"/>
      <c r="B136" s="25" t="s">
        <v>65</v>
      </c>
      <c r="C136" s="26"/>
      <c r="D136" s="27"/>
      <c r="E136" s="27"/>
      <c r="F136" s="18"/>
      <c r="G136" s="18"/>
      <c r="H136" s="18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2.75" outlineLevel="4">
      <c r="A137"/>
      <c r="B137" s="28" t="s">
        <v>66</v>
      </c>
      <c r="C137" s="29">
        <v>12722</v>
      </c>
      <c r="D137" s="30">
        <v>241.2</v>
      </c>
      <c r="E137" s="31" t="s">
        <v>18</v>
      </c>
      <c r="F137" s="32"/>
      <c r="G137" s="18">
        <f aca="true" t="shared" si="3" ref="G137:G140">D137*F137</f>
        <v>0</v>
      </c>
      <c r="H137" s="18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2.75" outlineLevel="4">
      <c r="A138"/>
      <c r="B138" s="28" t="s">
        <v>67</v>
      </c>
      <c r="C138" s="29">
        <v>12721</v>
      </c>
      <c r="D138" s="30">
        <v>241.2</v>
      </c>
      <c r="E138" s="31" t="s">
        <v>18</v>
      </c>
      <c r="F138" s="32"/>
      <c r="G138" s="18">
        <f t="shared" si="3"/>
        <v>0</v>
      </c>
      <c r="H138" s="1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2.75" outlineLevel="4">
      <c r="A139"/>
      <c r="B139" s="28" t="s">
        <v>68</v>
      </c>
      <c r="C139" s="29">
        <v>9208</v>
      </c>
      <c r="D139" s="30">
        <v>241.2</v>
      </c>
      <c r="E139" s="31" t="s">
        <v>18</v>
      </c>
      <c r="F139" s="32"/>
      <c r="G139" s="18">
        <f t="shared" si="3"/>
        <v>0</v>
      </c>
      <c r="H139" s="18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12.75" outlineLevel="4">
      <c r="A140"/>
      <c r="B140" s="28" t="s">
        <v>69</v>
      </c>
      <c r="C140" s="29">
        <v>12720</v>
      </c>
      <c r="D140" s="30">
        <v>241.2</v>
      </c>
      <c r="E140" s="31" t="s">
        <v>18</v>
      </c>
      <c r="F140" s="32"/>
      <c r="G140" s="18">
        <f t="shared" si="3"/>
        <v>0</v>
      </c>
      <c r="H140" s="18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13.5" outlineLevel="3">
      <c r="A141"/>
      <c r="B141" s="25" t="s">
        <v>70</v>
      </c>
      <c r="C141" s="26"/>
      <c r="D141" s="27"/>
      <c r="E141" s="27"/>
      <c r="F141" s="18"/>
      <c r="G141" s="18"/>
      <c r="H141" s="18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2.75" outlineLevel="4">
      <c r="A142"/>
      <c r="B142" s="28" t="s">
        <v>71</v>
      </c>
      <c r="C142" s="29">
        <v>12723</v>
      </c>
      <c r="D142" s="30">
        <v>161.3</v>
      </c>
      <c r="E142" s="31" t="s">
        <v>18</v>
      </c>
      <c r="F142" s="32"/>
      <c r="G142" s="18">
        <f aca="true" t="shared" si="4" ref="G142:G149">D142*F142</f>
        <v>0</v>
      </c>
      <c r="H142" s="18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2.75" outlineLevel="4">
      <c r="A143"/>
      <c r="B143" s="28" t="s">
        <v>72</v>
      </c>
      <c r="C143" s="29">
        <v>8339</v>
      </c>
      <c r="D143" s="30">
        <v>155.1</v>
      </c>
      <c r="E143" s="31" t="s">
        <v>18</v>
      </c>
      <c r="F143" s="32"/>
      <c r="G143" s="18">
        <f t="shared" si="4"/>
        <v>0</v>
      </c>
      <c r="H143" s="18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2.75" outlineLevel="4">
      <c r="A144"/>
      <c r="B144" s="28" t="str">
        <f>HYPERLINK("http://nashsad.ru/images/goods/big/00000008343.jpg","Ауклэнд 16/+ 1шт розовый")</f>
        <v>Ауклэнд 16/+ 1шт розовый</v>
      </c>
      <c r="C144" s="29">
        <v>8343</v>
      </c>
      <c r="D144" s="30">
        <v>161.3</v>
      </c>
      <c r="E144" s="31" t="s">
        <v>18</v>
      </c>
      <c r="F144" s="32"/>
      <c r="G144" s="18">
        <f t="shared" si="4"/>
        <v>0</v>
      </c>
      <c r="H144" s="18" t="str">
        <f>HYPERLINK("http://nashsad.ru/images/goods/big/00000008343.jpg","http://nashsad.ru/images/goods/big/00000008343.jpg")</f>
        <v>http://nashsad.ru/images/goods/big/00000008343.jpg</v>
      </c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12.75" outlineLevel="4">
      <c r="A145"/>
      <c r="B145" s="28" t="str">
        <f>HYPERLINK("http://nashsad.ru/images/goods/big/00000011602.jpg","Бэст голд 16/+ 1шт желтая")</f>
        <v>Бэст голд 16/+ 1шт желтая</v>
      </c>
      <c r="C145" s="29">
        <v>11602</v>
      </c>
      <c r="D145" s="30">
        <v>161.3</v>
      </c>
      <c r="E145" s="31" t="s">
        <v>18</v>
      </c>
      <c r="F145" s="32"/>
      <c r="G145" s="18">
        <f t="shared" si="4"/>
        <v>0</v>
      </c>
      <c r="H145" s="18" t="str">
        <f>HYPERLINK("http://nashsad.ru/images/goods/big/00000011602.jpg","http://nashsad.ru/images/goods/big/00000011602.jpg")</f>
        <v>http://nashsad.ru/images/goods/big/00000011602.jpg</v>
      </c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12.75" outlineLevel="4">
      <c r="A146"/>
      <c r="B146" s="28" t="s">
        <v>73</v>
      </c>
      <c r="C146" s="29">
        <v>12724</v>
      </c>
      <c r="D146" s="30">
        <v>167.4</v>
      </c>
      <c r="E146" s="31" t="s">
        <v>18</v>
      </c>
      <c r="F146" s="32"/>
      <c r="G146" s="18">
        <f t="shared" si="4"/>
        <v>0</v>
      </c>
      <c r="H146" s="18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12.75" outlineLevel="4">
      <c r="A147"/>
      <c r="B147" s="28" t="str">
        <f>HYPERLINK("http://nashsad.ru/images/goods/big/00000009188.jpg","Пикассо16/+ 1шт пурпурн")</f>
        <v>Пикассо16/+ 1шт пурпурн</v>
      </c>
      <c r="C147" s="29">
        <v>9188</v>
      </c>
      <c r="D147" s="30">
        <v>167.4</v>
      </c>
      <c r="E147" s="31" t="s">
        <v>18</v>
      </c>
      <c r="F147" s="32"/>
      <c r="G147" s="18">
        <f t="shared" si="4"/>
        <v>0</v>
      </c>
      <c r="H147" s="18" t="str">
        <f>HYPERLINK("http://nashsad.ru/images/goods/big/00000009188.jpg","http://nashsad.ru/images/goods/big/00000009188.jpg")</f>
        <v>http://nashsad.ru/images/goods/big/00000009188.jpg</v>
      </c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ht="12.75" outlineLevel="4">
      <c r="A148"/>
      <c r="B148" s="28" t="s">
        <v>74</v>
      </c>
      <c r="C148" s="29">
        <v>8342</v>
      </c>
      <c r="D148" s="30">
        <v>161.3</v>
      </c>
      <c r="E148" s="31" t="s">
        <v>18</v>
      </c>
      <c r="F148" s="32"/>
      <c r="G148" s="18">
        <f t="shared" si="4"/>
        <v>0</v>
      </c>
      <c r="H148" s="1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12.75" outlineLevel="4">
      <c r="A149"/>
      <c r="B149" s="28" t="str">
        <f>HYPERLINK("http://nashsad.ru/images/goods/big/00000011067.jpg","Рэд Сокс 16/+ 1шт.")</f>
        <v>Рэд Сокс 16/+ 1шт.</v>
      </c>
      <c r="C149" s="29">
        <v>11067</v>
      </c>
      <c r="D149" s="30">
        <v>167.4</v>
      </c>
      <c r="E149" s="31" t="s">
        <v>18</v>
      </c>
      <c r="F149" s="32"/>
      <c r="G149" s="18">
        <f t="shared" si="4"/>
        <v>0</v>
      </c>
      <c r="H149" s="18" t="str">
        <f>HYPERLINK("http://nashsad.ru/images/goods/big/00000011067.jpg","http://nashsad.ru/images/goods/big/00000011067.jpg")</f>
        <v>http://nashsad.ru/images/goods/big/00000011067.jpg</v>
      </c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13.5" outlineLevel="3">
      <c r="A150"/>
      <c r="B150" s="25" t="s">
        <v>75</v>
      </c>
      <c r="C150" s="26"/>
      <c r="D150" s="27"/>
      <c r="E150" s="27"/>
      <c r="F150" s="18"/>
      <c r="G150" s="18"/>
      <c r="H150" s="18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12.75" outlineLevel="4">
      <c r="A151"/>
      <c r="B151" s="28" t="s">
        <v>76</v>
      </c>
      <c r="C151" s="29">
        <v>8436</v>
      </c>
      <c r="D151" s="30">
        <v>225.8</v>
      </c>
      <c r="E151" s="31" t="s">
        <v>77</v>
      </c>
      <c r="F151" s="32"/>
      <c r="G151" s="18">
        <f aca="true" t="shared" si="5" ref="G151:G154">D151*F151</f>
        <v>0</v>
      </c>
      <c r="H151" s="18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12.75" outlineLevel="4">
      <c r="A152"/>
      <c r="B152" s="28" t="s">
        <v>78</v>
      </c>
      <c r="C152" s="29">
        <v>8435</v>
      </c>
      <c r="D152" s="30">
        <v>178.2</v>
      </c>
      <c r="E152" s="31" t="s">
        <v>77</v>
      </c>
      <c r="F152" s="32"/>
      <c r="G152" s="18">
        <f t="shared" si="5"/>
        <v>0</v>
      </c>
      <c r="H152" s="18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12.75" outlineLevel="4">
      <c r="A153"/>
      <c r="B153" s="28" t="s">
        <v>79</v>
      </c>
      <c r="C153" s="29">
        <v>12726</v>
      </c>
      <c r="D153" s="30">
        <v>225.8</v>
      </c>
      <c r="E153" s="31" t="s">
        <v>77</v>
      </c>
      <c r="F153" s="32"/>
      <c r="G153" s="18">
        <f t="shared" si="5"/>
        <v>0</v>
      </c>
      <c r="H153" s="18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2.75" outlineLevel="4">
      <c r="A154"/>
      <c r="B154" s="28" t="s">
        <v>80</v>
      </c>
      <c r="C154" s="29">
        <v>12725</v>
      </c>
      <c r="D154" s="30">
        <v>208.9</v>
      </c>
      <c r="E154" s="31" t="s">
        <v>77</v>
      </c>
      <c r="F154" s="32"/>
      <c r="G154" s="18">
        <f t="shared" si="5"/>
        <v>0</v>
      </c>
      <c r="H154" s="18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3.5" outlineLevel="3">
      <c r="A155"/>
      <c r="B155" s="25" t="s">
        <v>81</v>
      </c>
      <c r="C155" s="26"/>
      <c r="D155" s="27"/>
      <c r="E155" s="27"/>
      <c r="F155" s="18"/>
      <c r="G155" s="18"/>
      <c r="H155" s="18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2.75" outlineLevel="4">
      <c r="A156"/>
      <c r="B156" s="28" t="s">
        <v>82</v>
      </c>
      <c r="C156" s="29">
        <v>11916</v>
      </c>
      <c r="D156" s="30">
        <v>50.89</v>
      </c>
      <c r="E156" s="31" t="s">
        <v>83</v>
      </c>
      <c r="F156" s="32"/>
      <c r="G156" s="18">
        <f aca="true" t="shared" si="6" ref="G156:G221">D156*F156</f>
        <v>0</v>
      </c>
      <c r="H156" s="18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2.75" outlineLevel="4">
      <c r="A157"/>
      <c r="B157" s="28" t="s">
        <v>84</v>
      </c>
      <c r="C157" s="29">
        <v>11527</v>
      </c>
      <c r="D157" s="30">
        <v>19</v>
      </c>
      <c r="E157" s="31" t="s">
        <v>83</v>
      </c>
      <c r="F157" s="32"/>
      <c r="G157" s="18">
        <f t="shared" si="6"/>
        <v>0</v>
      </c>
      <c r="H157" s="18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2.75" outlineLevel="4">
      <c r="A158"/>
      <c r="B158" s="28" t="s">
        <v>85</v>
      </c>
      <c r="C158" s="29">
        <v>11906</v>
      </c>
      <c r="D158" s="30">
        <v>23.83</v>
      </c>
      <c r="E158" s="31" t="s">
        <v>83</v>
      </c>
      <c r="F158" s="32"/>
      <c r="G158" s="18">
        <f t="shared" si="6"/>
        <v>0</v>
      </c>
      <c r="H158" s="1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2.75" outlineLevel="4">
      <c r="A159"/>
      <c r="B159" s="28" t="s">
        <v>86</v>
      </c>
      <c r="C159" s="29">
        <v>11528</v>
      </c>
      <c r="D159" s="30">
        <v>16.66</v>
      </c>
      <c r="E159" s="31" t="s">
        <v>83</v>
      </c>
      <c r="F159" s="32"/>
      <c r="G159" s="18">
        <f t="shared" si="6"/>
        <v>0</v>
      </c>
      <c r="H159" s="18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2.75" outlineLevel="4">
      <c r="A160"/>
      <c r="B160" s="28" t="s">
        <v>87</v>
      </c>
      <c r="C160" s="29">
        <v>6466</v>
      </c>
      <c r="D160" s="30">
        <v>25.98</v>
      </c>
      <c r="E160" s="31" t="s">
        <v>83</v>
      </c>
      <c r="F160" s="32"/>
      <c r="G160" s="18">
        <f t="shared" si="6"/>
        <v>0</v>
      </c>
      <c r="H160" s="18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2.75" outlineLevel="4">
      <c r="A161"/>
      <c r="B161" s="28" t="s">
        <v>88</v>
      </c>
      <c r="C161" s="29">
        <v>10328</v>
      </c>
      <c r="D161" s="30">
        <v>16.66</v>
      </c>
      <c r="E161" s="31" t="s">
        <v>83</v>
      </c>
      <c r="F161" s="32"/>
      <c r="G161" s="18">
        <f t="shared" si="6"/>
        <v>0</v>
      </c>
      <c r="H161" s="18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2.75" outlineLevel="4">
      <c r="A162"/>
      <c r="B162" s="28" t="s">
        <v>89</v>
      </c>
      <c r="C162" s="29">
        <v>7238</v>
      </c>
      <c r="D162" s="30">
        <v>25.98</v>
      </c>
      <c r="E162" s="31" t="s">
        <v>83</v>
      </c>
      <c r="F162" s="32"/>
      <c r="G162" s="18">
        <f t="shared" si="6"/>
        <v>0</v>
      </c>
      <c r="H162" s="18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2.75" outlineLevel="4">
      <c r="A163"/>
      <c r="B163" s="28" t="s">
        <v>90</v>
      </c>
      <c r="C163" s="29">
        <v>12074</v>
      </c>
      <c r="D163" s="30">
        <v>30.46</v>
      </c>
      <c r="E163" s="31" t="s">
        <v>83</v>
      </c>
      <c r="F163" s="32"/>
      <c r="G163" s="18">
        <f t="shared" si="6"/>
        <v>0</v>
      </c>
      <c r="H163" s="18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2.75" outlineLevel="4">
      <c r="A164"/>
      <c r="B164" s="28" t="s">
        <v>91</v>
      </c>
      <c r="C164" s="29">
        <v>6468</v>
      </c>
      <c r="D164" s="30">
        <v>76.69</v>
      </c>
      <c r="E164" s="31" t="s">
        <v>83</v>
      </c>
      <c r="F164" s="32"/>
      <c r="G164" s="18">
        <f t="shared" si="6"/>
        <v>0</v>
      </c>
      <c r="H164" s="18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2.75" outlineLevel="4">
      <c r="A165"/>
      <c r="B165" s="28" t="s">
        <v>92</v>
      </c>
      <c r="C165" s="29">
        <v>10333</v>
      </c>
      <c r="D165" s="30">
        <v>64.51</v>
      </c>
      <c r="E165" s="31" t="s">
        <v>83</v>
      </c>
      <c r="F165" s="32"/>
      <c r="G165" s="18">
        <f t="shared" si="6"/>
        <v>0</v>
      </c>
      <c r="H165" s="18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2.75" outlineLevel="4">
      <c r="A166"/>
      <c r="B166" s="28" t="s">
        <v>93</v>
      </c>
      <c r="C166" s="29">
        <v>9413</v>
      </c>
      <c r="D166" s="30">
        <v>23.83</v>
      </c>
      <c r="E166" s="31" t="s">
        <v>83</v>
      </c>
      <c r="F166" s="32"/>
      <c r="G166" s="18">
        <f t="shared" si="6"/>
        <v>0</v>
      </c>
      <c r="H166" s="18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2.75" outlineLevel="4">
      <c r="A167"/>
      <c r="B167" s="28" t="s">
        <v>94</v>
      </c>
      <c r="C167" s="29">
        <v>6469</v>
      </c>
      <c r="D167" s="30">
        <v>44.62</v>
      </c>
      <c r="E167" s="31" t="s">
        <v>83</v>
      </c>
      <c r="F167" s="32"/>
      <c r="G167" s="18">
        <f t="shared" si="6"/>
        <v>0</v>
      </c>
      <c r="H167" s="18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2.75" outlineLevel="4">
      <c r="A168"/>
      <c r="B168" s="28" t="s">
        <v>95</v>
      </c>
      <c r="C168" s="29">
        <v>5618</v>
      </c>
      <c r="D168" s="30">
        <v>46.77</v>
      </c>
      <c r="E168" s="31" t="s">
        <v>83</v>
      </c>
      <c r="F168" s="32"/>
      <c r="G168" s="18">
        <f t="shared" si="6"/>
        <v>0</v>
      </c>
      <c r="H168" s="1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12.75" outlineLevel="4">
      <c r="A169"/>
      <c r="B169" s="28" t="s">
        <v>96</v>
      </c>
      <c r="C169" s="29">
        <v>11956</v>
      </c>
      <c r="D169" s="30">
        <v>25.98</v>
      </c>
      <c r="E169" s="31" t="s">
        <v>83</v>
      </c>
      <c r="F169" s="32"/>
      <c r="G169" s="18">
        <f t="shared" si="6"/>
        <v>0</v>
      </c>
      <c r="H169" s="18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2.75" outlineLevel="4">
      <c r="A170"/>
      <c r="B170" s="28" t="s">
        <v>97</v>
      </c>
      <c r="C170" s="29">
        <v>11786</v>
      </c>
      <c r="D170" s="30">
        <v>70.78</v>
      </c>
      <c r="E170" s="31" t="s">
        <v>83</v>
      </c>
      <c r="F170" s="32"/>
      <c r="G170" s="18">
        <f t="shared" si="6"/>
        <v>0</v>
      </c>
      <c r="H170" s="18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12.75" outlineLevel="4">
      <c r="A171"/>
      <c r="B171" s="28" t="s">
        <v>98</v>
      </c>
      <c r="C171" s="29">
        <v>5362</v>
      </c>
      <c r="D171" s="30">
        <v>53.58</v>
      </c>
      <c r="E171" s="31" t="s">
        <v>83</v>
      </c>
      <c r="F171" s="32"/>
      <c r="G171" s="18">
        <f t="shared" si="6"/>
        <v>0</v>
      </c>
      <c r="H171" s="18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ht="12.75" outlineLevel="4">
      <c r="A172"/>
      <c r="B172" s="28" t="s">
        <v>99</v>
      </c>
      <c r="C172" s="29">
        <v>8204</v>
      </c>
      <c r="D172" s="30">
        <v>16.66</v>
      </c>
      <c r="E172" s="31" t="s">
        <v>83</v>
      </c>
      <c r="F172" s="32"/>
      <c r="G172" s="18">
        <f t="shared" si="6"/>
        <v>0</v>
      </c>
      <c r="H172" s="18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ht="12.75" outlineLevel="4">
      <c r="A173"/>
      <c r="B173" s="28" t="s">
        <v>100</v>
      </c>
      <c r="C173" s="29">
        <v>10336</v>
      </c>
      <c r="D173" s="30">
        <v>28.31</v>
      </c>
      <c r="E173" s="31" t="s">
        <v>83</v>
      </c>
      <c r="F173" s="32"/>
      <c r="G173" s="18">
        <f t="shared" si="6"/>
        <v>0</v>
      </c>
      <c r="H173" s="18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ht="12.75" outlineLevel="4">
      <c r="A174"/>
      <c r="B174" s="28" t="s">
        <v>101</v>
      </c>
      <c r="C174" s="29">
        <v>6491</v>
      </c>
      <c r="D174" s="30">
        <v>76.69</v>
      </c>
      <c r="E174" s="31" t="s">
        <v>83</v>
      </c>
      <c r="F174" s="32"/>
      <c r="G174" s="18">
        <f t="shared" si="6"/>
        <v>0</v>
      </c>
      <c r="H174" s="18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ht="12.75" outlineLevel="4">
      <c r="A175"/>
      <c r="B175" s="28" t="s">
        <v>102</v>
      </c>
      <c r="C175" s="29">
        <v>11926</v>
      </c>
      <c r="D175" s="30">
        <v>26.7</v>
      </c>
      <c r="E175" s="31" t="s">
        <v>83</v>
      </c>
      <c r="F175" s="32"/>
      <c r="G175" s="18">
        <f t="shared" si="6"/>
        <v>0</v>
      </c>
      <c r="H175" s="18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ht="12.75" outlineLevel="4">
      <c r="A176"/>
      <c r="B176" s="28" t="s">
        <v>103</v>
      </c>
      <c r="C176" s="29">
        <v>7148</v>
      </c>
      <c r="D176" s="30">
        <v>25.98</v>
      </c>
      <c r="E176" s="31" t="s">
        <v>83</v>
      </c>
      <c r="F176" s="32"/>
      <c r="G176" s="18">
        <f t="shared" si="6"/>
        <v>0</v>
      </c>
      <c r="H176" s="18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ht="12.75" outlineLevel="4">
      <c r="A177"/>
      <c r="B177" s="28" t="s">
        <v>104</v>
      </c>
      <c r="C177" s="29">
        <v>11002</v>
      </c>
      <c r="D177" s="30">
        <v>30.46</v>
      </c>
      <c r="E177" s="31" t="s">
        <v>83</v>
      </c>
      <c r="F177" s="32"/>
      <c r="G177" s="18">
        <f t="shared" si="6"/>
        <v>0</v>
      </c>
      <c r="H177" s="18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ht="12.75" outlineLevel="4">
      <c r="A178"/>
      <c r="B178" s="28" t="s">
        <v>105</v>
      </c>
      <c r="C178" s="29">
        <v>11927</v>
      </c>
      <c r="D178" s="30">
        <v>58.77</v>
      </c>
      <c r="E178" s="31" t="s">
        <v>83</v>
      </c>
      <c r="F178" s="32"/>
      <c r="G178" s="18">
        <f t="shared" si="6"/>
        <v>0</v>
      </c>
      <c r="H178" s="1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ht="12.75" outlineLevel="4">
      <c r="A179"/>
      <c r="B179" s="28" t="s">
        <v>106</v>
      </c>
      <c r="C179" s="29">
        <v>9891</v>
      </c>
      <c r="D179" s="30">
        <v>25.98</v>
      </c>
      <c r="E179" s="31" t="s">
        <v>83</v>
      </c>
      <c r="F179" s="32"/>
      <c r="G179" s="18">
        <f t="shared" si="6"/>
        <v>0</v>
      </c>
      <c r="H179" s="18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ht="12.75" outlineLevel="4">
      <c r="A180"/>
      <c r="B180" s="28" t="s">
        <v>107</v>
      </c>
      <c r="C180" s="29">
        <v>6714</v>
      </c>
      <c r="D180" s="30">
        <v>61.82</v>
      </c>
      <c r="E180" s="31" t="s">
        <v>83</v>
      </c>
      <c r="F180" s="32"/>
      <c r="G180" s="18">
        <f t="shared" si="6"/>
        <v>0</v>
      </c>
      <c r="H180" s="18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ht="12.75" outlineLevel="4">
      <c r="A181"/>
      <c r="B181" s="28" t="s">
        <v>108</v>
      </c>
      <c r="C181" s="29">
        <v>12644</v>
      </c>
      <c r="D181" s="30">
        <v>75.98</v>
      </c>
      <c r="E181" s="31" t="s">
        <v>83</v>
      </c>
      <c r="F181" s="32"/>
      <c r="G181" s="18">
        <f t="shared" si="6"/>
        <v>0</v>
      </c>
      <c r="H181" s="18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ht="12.75" outlineLevel="4">
      <c r="A182"/>
      <c r="B182" s="28" t="s">
        <v>109</v>
      </c>
      <c r="C182" s="29">
        <v>7139</v>
      </c>
      <c r="D182" s="30">
        <v>55.55</v>
      </c>
      <c r="E182" s="31" t="s">
        <v>83</v>
      </c>
      <c r="F182" s="32"/>
      <c r="G182" s="18">
        <f t="shared" si="6"/>
        <v>0</v>
      </c>
      <c r="H182" s="18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ht="12.75" outlineLevel="4">
      <c r="A183"/>
      <c r="B183" s="28" t="s">
        <v>110</v>
      </c>
      <c r="C183" s="29">
        <v>12063</v>
      </c>
      <c r="D183" s="30">
        <v>53.58</v>
      </c>
      <c r="E183" s="31" t="s">
        <v>83</v>
      </c>
      <c r="F183" s="32"/>
      <c r="G183" s="18">
        <f t="shared" si="6"/>
        <v>0</v>
      </c>
      <c r="H183" s="18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ht="12.75" outlineLevel="4">
      <c r="A184"/>
      <c r="B184" s="28" t="s">
        <v>111</v>
      </c>
      <c r="C184" s="29">
        <v>7348</v>
      </c>
      <c r="D184" s="30">
        <v>31.18</v>
      </c>
      <c r="E184" s="31" t="s">
        <v>83</v>
      </c>
      <c r="F184" s="32"/>
      <c r="G184" s="18">
        <f t="shared" si="6"/>
        <v>0</v>
      </c>
      <c r="H184" s="18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ht="12.75" outlineLevel="4">
      <c r="A185"/>
      <c r="B185" s="28" t="s">
        <v>112</v>
      </c>
      <c r="C185" s="29">
        <v>9069</v>
      </c>
      <c r="D185" s="30">
        <v>75.63</v>
      </c>
      <c r="E185" s="31" t="s">
        <v>83</v>
      </c>
      <c r="F185" s="32"/>
      <c r="G185" s="18">
        <f t="shared" si="6"/>
        <v>0</v>
      </c>
      <c r="H185" s="18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ht="12.75" outlineLevel="4">
      <c r="A186"/>
      <c r="B186" s="28" t="s">
        <v>113</v>
      </c>
      <c r="C186" s="29">
        <v>11952</v>
      </c>
      <c r="D186" s="30">
        <v>28.31</v>
      </c>
      <c r="E186" s="31" t="s">
        <v>83</v>
      </c>
      <c r="F186" s="32"/>
      <c r="G186" s="18">
        <f t="shared" si="6"/>
        <v>0</v>
      </c>
      <c r="H186" s="18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ht="12.75" outlineLevel="4">
      <c r="A187"/>
      <c r="B187" s="28" t="s">
        <v>114</v>
      </c>
      <c r="C187" s="29">
        <v>7143</v>
      </c>
      <c r="D187" s="30">
        <v>69.89</v>
      </c>
      <c r="E187" s="31" t="s">
        <v>83</v>
      </c>
      <c r="F187" s="32"/>
      <c r="G187" s="18">
        <f t="shared" si="6"/>
        <v>0</v>
      </c>
      <c r="H187" s="18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ht="12.75" outlineLevel="4">
      <c r="A188"/>
      <c r="B188" s="28" t="s">
        <v>115</v>
      </c>
      <c r="C188" s="29">
        <v>12066</v>
      </c>
      <c r="D188" s="30">
        <v>34.41</v>
      </c>
      <c r="E188" s="31" t="s">
        <v>83</v>
      </c>
      <c r="F188" s="32"/>
      <c r="G188" s="18">
        <f t="shared" si="6"/>
        <v>0</v>
      </c>
      <c r="H188" s="1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ht="12.75" outlineLevel="4">
      <c r="A189"/>
      <c r="B189" s="28" t="s">
        <v>116</v>
      </c>
      <c r="C189" s="29">
        <v>5428</v>
      </c>
      <c r="D189" s="30">
        <v>25.98</v>
      </c>
      <c r="E189" s="31" t="s">
        <v>83</v>
      </c>
      <c r="F189" s="32"/>
      <c r="G189" s="18">
        <f t="shared" si="6"/>
        <v>0</v>
      </c>
      <c r="H189" s="18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ht="12.75" outlineLevel="4">
      <c r="A190"/>
      <c r="B190" s="28" t="s">
        <v>117</v>
      </c>
      <c r="C190" s="29">
        <v>5974</v>
      </c>
      <c r="D190" s="30">
        <v>82.25</v>
      </c>
      <c r="E190" s="31" t="s">
        <v>83</v>
      </c>
      <c r="F190" s="32"/>
      <c r="G190" s="18">
        <f t="shared" si="6"/>
        <v>0</v>
      </c>
      <c r="H190" s="18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ht="12.75" outlineLevel="4">
      <c r="A191"/>
      <c r="B191" s="28" t="s">
        <v>118</v>
      </c>
      <c r="C191" s="29">
        <v>9262</v>
      </c>
      <c r="D191" s="30">
        <v>44.62</v>
      </c>
      <c r="E191" s="31" t="s">
        <v>83</v>
      </c>
      <c r="F191" s="32"/>
      <c r="G191" s="18">
        <f t="shared" si="6"/>
        <v>0</v>
      </c>
      <c r="H191" s="18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ht="12.75" outlineLevel="4">
      <c r="A192"/>
      <c r="B192" s="28" t="s">
        <v>119</v>
      </c>
      <c r="C192" s="29">
        <v>12054</v>
      </c>
      <c r="D192" s="30">
        <v>19</v>
      </c>
      <c r="E192" s="31" t="s">
        <v>83</v>
      </c>
      <c r="F192" s="32"/>
      <c r="G192" s="18">
        <f t="shared" si="6"/>
        <v>0</v>
      </c>
      <c r="H192" s="18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ht="12.75" outlineLevel="4">
      <c r="A193"/>
      <c r="B193" s="28" t="s">
        <v>120</v>
      </c>
      <c r="C193" s="29">
        <v>7599</v>
      </c>
      <c r="D193" s="30">
        <v>75.63</v>
      </c>
      <c r="E193" s="31" t="s">
        <v>83</v>
      </c>
      <c r="F193" s="32"/>
      <c r="G193" s="18">
        <f t="shared" si="6"/>
        <v>0</v>
      </c>
      <c r="H193" s="18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ht="12.75" outlineLevel="4">
      <c r="A194"/>
      <c r="B194" s="28" t="s">
        <v>121</v>
      </c>
      <c r="C194" s="29">
        <v>11953</v>
      </c>
      <c r="D194" s="30">
        <v>36.74</v>
      </c>
      <c r="E194" s="31" t="s">
        <v>83</v>
      </c>
      <c r="F194" s="32"/>
      <c r="G194" s="18">
        <f t="shared" si="6"/>
        <v>0</v>
      </c>
      <c r="H194" s="18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ht="12.75" outlineLevel="4">
      <c r="A195"/>
      <c r="B195" s="28" t="s">
        <v>122</v>
      </c>
      <c r="C195" s="29">
        <v>6803</v>
      </c>
      <c r="D195" s="30">
        <v>32.62</v>
      </c>
      <c r="E195" s="31" t="s">
        <v>83</v>
      </c>
      <c r="F195" s="32"/>
      <c r="G195" s="18">
        <f t="shared" si="6"/>
        <v>0</v>
      </c>
      <c r="H195" s="18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ht="12.75" outlineLevel="4">
      <c r="A196"/>
      <c r="B196" s="28" t="s">
        <v>123</v>
      </c>
      <c r="C196" s="29">
        <v>12342</v>
      </c>
      <c r="D196" s="30">
        <v>38</v>
      </c>
      <c r="E196" s="31" t="s">
        <v>83</v>
      </c>
      <c r="F196" s="32"/>
      <c r="G196" s="18">
        <f t="shared" si="6"/>
        <v>0</v>
      </c>
      <c r="H196" s="18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2.75" outlineLevel="4">
      <c r="A197"/>
      <c r="B197" s="28" t="s">
        <v>124</v>
      </c>
      <c r="C197" s="29">
        <v>11567</v>
      </c>
      <c r="D197" s="30">
        <v>49.99</v>
      </c>
      <c r="E197" s="31" t="s">
        <v>83</v>
      </c>
      <c r="F197" s="32"/>
      <c r="G197" s="18">
        <f t="shared" si="6"/>
        <v>0</v>
      </c>
      <c r="H197" s="18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2.75" outlineLevel="4">
      <c r="A198"/>
      <c r="B198" s="28" t="s">
        <v>125</v>
      </c>
      <c r="C198" s="29">
        <v>5975</v>
      </c>
      <c r="D198" s="30">
        <v>17.74</v>
      </c>
      <c r="E198" s="31" t="s">
        <v>83</v>
      </c>
      <c r="F198" s="32"/>
      <c r="G198" s="18">
        <f t="shared" si="6"/>
        <v>0</v>
      </c>
      <c r="H198" s="1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ht="12.75" outlineLevel="4">
      <c r="A199"/>
      <c r="B199" s="28" t="s">
        <v>126</v>
      </c>
      <c r="C199" s="29">
        <v>12064</v>
      </c>
      <c r="D199" s="30">
        <v>42.29</v>
      </c>
      <c r="E199" s="31" t="s">
        <v>83</v>
      </c>
      <c r="F199" s="32"/>
      <c r="G199" s="18">
        <f t="shared" si="6"/>
        <v>0</v>
      </c>
      <c r="H199" s="18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ht="12.75" outlineLevel="4">
      <c r="A200"/>
      <c r="B200" s="28" t="s">
        <v>127</v>
      </c>
      <c r="C200" s="29">
        <v>11704</v>
      </c>
      <c r="D200" s="30">
        <v>19</v>
      </c>
      <c r="E200" s="31" t="s">
        <v>83</v>
      </c>
      <c r="F200" s="32"/>
      <c r="G200" s="18">
        <f t="shared" si="6"/>
        <v>0</v>
      </c>
      <c r="H200" s="18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ht="12.75" outlineLevel="4">
      <c r="A201"/>
      <c r="B201" s="28" t="s">
        <v>128</v>
      </c>
      <c r="C201" s="29">
        <v>12065</v>
      </c>
      <c r="D201" s="30">
        <v>43.19</v>
      </c>
      <c r="E201" s="31" t="s">
        <v>83</v>
      </c>
      <c r="F201" s="32"/>
      <c r="G201" s="18">
        <f t="shared" si="6"/>
        <v>0</v>
      </c>
      <c r="H201" s="18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ht="12.75" outlineLevel="4">
      <c r="A202"/>
      <c r="B202" s="28" t="s">
        <v>129</v>
      </c>
      <c r="C202" s="29">
        <v>10278</v>
      </c>
      <c r="D202" s="30">
        <v>48.02</v>
      </c>
      <c r="E202" s="31" t="s">
        <v>83</v>
      </c>
      <c r="F202" s="32"/>
      <c r="G202" s="18">
        <f t="shared" si="6"/>
        <v>0</v>
      </c>
      <c r="H202" s="18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ht="12.75" outlineLevel="4">
      <c r="A203"/>
      <c r="B203" s="28" t="s">
        <v>130</v>
      </c>
      <c r="C203" s="29">
        <v>7290</v>
      </c>
      <c r="D203" s="30">
        <v>58.77</v>
      </c>
      <c r="E203" s="31" t="s">
        <v>83</v>
      </c>
      <c r="F203" s="32"/>
      <c r="G203" s="18">
        <f t="shared" si="6"/>
        <v>0</v>
      </c>
      <c r="H203" s="18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ht="12.75" outlineLevel="4">
      <c r="A204"/>
      <c r="B204" s="28" t="s">
        <v>131</v>
      </c>
      <c r="C204" s="29">
        <v>7359</v>
      </c>
      <c r="D204" s="30">
        <v>25.98</v>
      </c>
      <c r="E204" s="31" t="s">
        <v>83</v>
      </c>
      <c r="F204" s="32"/>
      <c r="G204" s="18">
        <f t="shared" si="6"/>
        <v>0</v>
      </c>
      <c r="H204" s="18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ht="12.75" outlineLevel="4">
      <c r="A205"/>
      <c r="B205" s="28" t="s">
        <v>132</v>
      </c>
      <c r="C205" s="29">
        <v>11005</v>
      </c>
      <c r="D205" s="30">
        <v>25.98</v>
      </c>
      <c r="E205" s="31" t="s">
        <v>83</v>
      </c>
      <c r="F205" s="32"/>
      <c r="G205" s="18">
        <f t="shared" si="6"/>
        <v>0</v>
      </c>
      <c r="H205" s="18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ht="12.75" outlineLevel="4">
      <c r="A206"/>
      <c r="B206" s="28" t="s">
        <v>133</v>
      </c>
      <c r="C206" s="29">
        <v>11787</v>
      </c>
      <c r="D206" s="30">
        <v>42.29</v>
      </c>
      <c r="E206" s="31" t="s">
        <v>83</v>
      </c>
      <c r="F206" s="32"/>
      <c r="G206" s="18">
        <f t="shared" si="6"/>
        <v>0</v>
      </c>
      <c r="H206" s="18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ht="12.75" outlineLevel="4">
      <c r="A207"/>
      <c r="B207" s="28" t="s">
        <v>134</v>
      </c>
      <c r="C207" s="29">
        <v>12330</v>
      </c>
      <c r="D207" s="30">
        <v>76.69</v>
      </c>
      <c r="E207" s="31" t="s">
        <v>83</v>
      </c>
      <c r="F207" s="32"/>
      <c r="G207" s="18">
        <f t="shared" si="6"/>
        <v>0</v>
      </c>
      <c r="H207" s="18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ht="12.75" outlineLevel="4">
      <c r="A208"/>
      <c r="B208" s="28" t="s">
        <v>135</v>
      </c>
      <c r="C208" s="29">
        <v>11546</v>
      </c>
      <c r="D208" s="30">
        <v>46.77</v>
      </c>
      <c r="E208" s="31" t="s">
        <v>83</v>
      </c>
      <c r="F208" s="32"/>
      <c r="G208" s="18">
        <f t="shared" si="6"/>
        <v>0</v>
      </c>
      <c r="H208" s="1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ht="12.75" outlineLevel="4">
      <c r="A209"/>
      <c r="B209" s="28" t="s">
        <v>136</v>
      </c>
      <c r="C209" s="29">
        <v>11788</v>
      </c>
      <c r="D209" s="30">
        <v>30.46</v>
      </c>
      <c r="E209" s="31" t="s">
        <v>83</v>
      </c>
      <c r="F209" s="32"/>
      <c r="G209" s="18">
        <f t="shared" si="6"/>
        <v>0</v>
      </c>
      <c r="H209" s="18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ht="12.75" outlineLevel="4">
      <c r="A210"/>
      <c r="B210" s="28" t="s">
        <v>137</v>
      </c>
      <c r="C210" s="29">
        <v>11803</v>
      </c>
      <c r="D210" s="30">
        <v>25.98</v>
      </c>
      <c r="E210" s="31" t="s">
        <v>83</v>
      </c>
      <c r="F210" s="32"/>
      <c r="G210" s="18">
        <f t="shared" si="6"/>
        <v>0</v>
      </c>
      <c r="H210" s="18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ht="12.75" outlineLevel="4">
      <c r="A211"/>
      <c r="B211" s="28" t="s">
        <v>138</v>
      </c>
      <c r="C211" s="29">
        <v>12052</v>
      </c>
      <c r="D211" s="30">
        <v>24.91</v>
      </c>
      <c r="E211" s="31" t="s">
        <v>83</v>
      </c>
      <c r="F211" s="32"/>
      <c r="G211" s="18">
        <f t="shared" si="6"/>
        <v>0</v>
      </c>
      <c r="H211" s="18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ht="12.75" outlineLevel="4">
      <c r="A212"/>
      <c r="B212" s="28" t="s">
        <v>139</v>
      </c>
      <c r="C212" s="29">
        <v>11513</v>
      </c>
      <c r="D212" s="30">
        <v>35.66</v>
      </c>
      <c r="E212" s="31" t="s">
        <v>83</v>
      </c>
      <c r="F212" s="32"/>
      <c r="G212" s="18">
        <f t="shared" si="6"/>
        <v>0</v>
      </c>
      <c r="H212" s="18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12.75" outlineLevel="4">
      <c r="A213"/>
      <c r="B213" s="28" t="s">
        <v>140</v>
      </c>
      <c r="C213" s="29">
        <v>9078</v>
      </c>
      <c r="D213" s="30">
        <v>34.58</v>
      </c>
      <c r="E213" s="31" t="s">
        <v>83</v>
      </c>
      <c r="F213" s="32"/>
      <c r="G213" s="18">
        <f t="shared" si="6"/>
        <v>0</v>
      </c>
      <c r="H213" s="18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12.75" outlineLevel="4">
      <c r="A214"/>
      <c r="B214" s="28" t="s">
        <v>141</v>
      </c>
      <c r="C214" s="29">
        <v>6113</v>
      </c>
      <c r="D214" s="30">
        <v>80.11</v>
      </c>
      <c r="E214" s="31" t="s">
        <v>83</v>
      </c>
      <c r="F214" s="32"/>
      <c r="G214" s="18">
        <f t="shared" si="6"/>
        <v>0</v>
      </c>
      <c r="H214" s="18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12.75" outlineLevel="4">
      <c r="A215"/>
      <c r="B215" s="28" t="s">
        <v>142</v>
      </c>
      <c r="C215" s="29">
        <v>10257</v>
      </c>
      <c r="D215" s="30">
        <v>47.49</v>
      </c>
      <c r="E215" s="31" t="s">
        <v>83</v>
      </c>
      <c r="F215" s="32"/>
      <c r="G215" s="18">
        <f t="shared" si="6"/>
        <v>0</v>
      </c>
      <c r="H215" s="18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2.75" outlineLevel="4">
      <c r="A216"/>
      <c r="B216" s="28" t="s">
        <v>143</v>
      </c>
      <c r="C216" s="29">
        <v>11908</v>
      </c>
      <c r="D216" s="30">
        <v>25.98</v>
      </c>
      <c r="E216" s="31" t="s">
        <v>83</v>
      </c>
      <c r="F216" s="32"/>
      <c r="G216" s="18">
        <f t="shared" si="6"/>
        <v>0</v>
      </c>
      <c r="H216" s="18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ht="12.75" outlineLevel="4">
      <c r="A217"/>
      <c r="B217" s="28" t="s">
        <v>144</v>
      </c>
      <c r="C217" s="29">
        <v>12331</v>
      </c>
      <c r="D217" s="30">
        <v>33.87</v>
      </c>
      <c r="E217" s="31" t="s">
        <v>83</v>
      </c>
      <c r="F217" s="32"/>
      <c r="G217" s="18">
        <f t="shared" si="6"/>
        <v>0</v>
      </c>
      <c r="H217" s="18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ht="12.75" outlineLevel="4">
      <c r="A218"/>
      <c r="B218" s="28" t="s">
        <v>145</v>
      </c>
      <c r="C218" s="29">
        <v>12053</v>
      </c>
      <c r="D218" s="30">
        <v>74.55</v>
      </c>
      <c r="E218" s="31" t="s">
        <v>83</v>
      </c>
      <c r="F218" s="32"/>
      <c r="G218" s="18">
        <f t="shared" si="6"/>
        <v>0</v>
      </c>
      <c r="H218" s="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ht="12.75" outlineLevel="4">
      <c r="A219"/>
      <c r="B219" s="28" t="s">
        <v>146</v>
      </c>
      <c r="C219" s="29">
        <v>8070</v>
      </c>
      <c r="D219" s="30">
        <v>56.45</v>
      </c>
      <c r="E219" s="31" t="s">
        <v>83</v>
      </c>
      <c r="F219" s="32"/>
      <c r="G219" s="18">
        <f t="shared" si="6"/>
        <v>0</v>
      </c>
      <c r="H219" s="18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ht="12.75" outlineLevel="4">
      <c r="A220"/>
      <c r="B220" s="28" t="s">
        <v>147</v>
      </c>
      <c r="C220" s="29">
        <v>10280</v>
      </c>
      <c r="D220" s="30">
        <v>44.62</v>
      </c>
      <c r="E220" s="31" t="s">
        <v>83</v>
      </c>
      <c r="F220" s="32"/>
      <c r="G220" s="18">
        <f t="shared" si="6"/>
        <v>0</v>
      </c>
      <c r="H220" s="18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2.75" outlineLevel="4">
      <c r="A221"/>
      <c r="B221" s="28" t="s">
        <v>148</v>
      </c>
      <c r="C221" s="29">
        <v>7161</v>
      </c>
      <c r="D221" s="30">
        <v>46.06</v>
      </c>
      <c r="E221" s="31" t="s">
        <v>83</v>
      </c>
      <c r="F221" s="32"/>
      <c r="G221" s="18">
        <f t="shared" si="6"/>
        <v>0</v>
      </c>
      <c r="H221" s="18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2.75" outlineLevel="4">
      <c r="A222"/>
      <c r="B222" s="33" t="s">
        <v>149</v>
      </c>
      <c r="C222" s="33"/>
      <c r="D222" s="34"/>
      <c r="E222" s="34"/>
      <c r="F222" s="18"/>
      <c r="G222" s="18"/>
      <c r="H222" s="18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2.75" outlineLevel="5">
      <c r="A223"/>
      <c r="B223" s="28" t="s">
        <v>150</v>
      </c>
      <c r="C223" s="29">
        <v>11504</v>
      </c>
      <c r="D223" s="30">
        <v>58.06</v>
      </c>
      <c r="E223" s="31" t="s">
        <v>83</v>
      </c>
      <c r="F223" s="32"/>
      <c r="G223" s="18">
        <f aca="true" t="shared" si="7" ref="G223:G299">D223*F223</f>
        <v>0</v>
      </c>
      <c r="H223" s="18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2.75" outlineLevel="4">
      <c r="A224"/>
      <c r="B224" s="28" t="s">
        <v>151</v>
      </c>
      <c r="C224" s="29">
        <v>10362</v>
      </c>
      <c r="D224" s="30">
        <v>15.6</v>
      </c>
      <c r="E224" s="31" t="s">
        <v>83</v>
      </c>
      <c r="F224" s="32"/>
      <c r="G224" s="18">
        <f t="shared" si="7"/>
        <v>0</v>
      </c>
      <c r="H224" s="18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2.75" outlineLevel="4">
      <c r="A225"/>
      <c r="B225" s="28" t="s">
        <v>152</v>
      </c>
      <c r="C225" s="29">
        <v>11705</v>
      </c>
      <c r="D225" s="30">
        <v>50.54</v>
      </c>
      <c r="E225" s="31" t="s">
        <v>83</v>
      </c>
      <c r="F225" s="32"/>
      <c r="G225" s="18">
        <f t="shared" si="7"/>
        <v>0</v>
      </c>
      <c r="H225" s="18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2.75" outlineLevel="4">
      <c r="A226"/>
      <c r="B226" s="28" t="s">
        <v>153</v>
      </c>
      <c r="C226" s="29">
        <v>6510</v>
      </c>
      <c r="D226" s="30">
        <v>28.31</v>
      </c>
      <c r="E226" s="31" t="s">
        <v>83</v>
      </c>
      <c r="F226" s="32"/>
      <c r="G226" s="18">
        <f t="shared" si="7"/>
        <v>0</v>
      </c>
      <c r="H226" s="18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ht="12.75" outlineLevel="4">
      <c r="A227"/>
      <c r="B227" s="28" t="s">
        <v>154</v>
      </c>
      <c r="C227" s="29">
        <v>11961</v>
      </c>
      <c r="D227" s="30">
        <v>31.18</v>
      </c>
      <c r="E227" s="31" t="s">
        <v>83</v>
      </c>
      <c r="F227" s="32"/>
      <c r="G227" s="18">
        <f t="shared" si="7"/>
        <v>0</v>
      </c>
      <c r="H227" s="18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ht="12.75" outlineLevel="4">
      <c r="A228"/>
      <c r="B228" s="28" t="s">
        <v>155</v>
      </c>
      <c r="C228" s="29">
        <v>6022</v>
      </c>
      <c r="D228" s="30">
        <v>23.83</v>
      </c>
      <c r="E228" s="31" t="s">
        <v>83</v>
      </c>
      <c r="F228" s="32"/>
      <c r="G228" s="18">
        <f t="shared" si="7"/>
        <v>0</v>
      </c>
      <c r="H228" s="1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ht="12.75" outlineLevel="4">
      <c r="A229"/>
      <c r="B229" s="28" t="s">
        <v>156</v>
      </c>
      <c r="C229" s="29">
        <v>12069</v>
      </c>
      <c r="D229" s="30">
        <v>25.98</v>
      </c>
      <c r="E229" s="31" t="s">
        <v>83</v>
      </c>
      <c r="F229" s="32"/>
      <c r="G229" s="18">
        <f t="shared" si="7"/>
        <v>0</v>
      </c>
      <c r="H229" s="18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ht="12.75" outlineLevel="4">
      <c r="A230"/>
      <c r="B230" s="28" t="s">
        <v>157</v>
      </c>
      <c r="C230" s="29">
        <v>10285</v>
      </c>
      <c r="D230" s="30">
        <v>42.29</v>
      </c>
      <c r="E230" s="31" t="s">
        <v>83</v>
      </c>
      <c r="F230" s="32"/>
      <c r="G230" s="18">
        <f t="shared" si="7"/>
        <v>0</v>
      </c>
      <c r="H230" s="18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ht="12.75" outlineLevel="4">
      <c r="A231"/>
      <c r="B231" s="28" t="s">
        <v>158</v>
      </c>
      <c r="C231" s="29">
        <v>10288</v>
      </c>
      <c r="D231" s="30">
        <v>25.98</v>
      </c>
      <c r="E231" s="31" t="s">
        <v>83</v>
      </c>
      <c r="F231" s="32"/>
      <c r="G231" s="18">
        <f t="shared" si="7"/>
        <v>0</v>
      </c>
      <c r="H231" s="18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ht="12.75" outlineLevel="4">
      <c r="A232"/>
      <c r="B232" s="28" t="s">
        <v>159</v>
      </c>
      <c r="C232" s="29">
        <v>12672</v>
      </c>
      <c r="D232" s="30">
        <v>414.7</v>
      </c>
      <c r="E232" s="31" t="s">
        <v>18</v>
      </c>
      <c r="F232" s="32"/>
      <c r="G232" s="18">
        <f t="shared" si="7"/>
        <v>0</v>
      </c>
      <c r="H232" s="18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ht="12.75" outlineLevel="4">
      <c r="A233"/>
      <c r="B233" s="28" t="s">
        <v>160</v>
      </c>
      <c r="C233" s="29">
        <v>12499</v>
      </c>
      <c r="D233" s="30">
        <v>53.23</v>
      </c>
      <c r="E233" s="31" t="s">
        <v>83</v>
      </c>
      <c r="F233" s="32"/>
      <c r="G233" s="18">
        <f t="shared" si="7"/>
        <v>0</v>
      </c>
      <c r="H233" s="18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ht="12.75" outlineLevel="4">
      <c r="A234"/>
      <c r="B234" s="28" t="s">
        <v>161</v>
      </c>
      <c r="C234" s="29">
        <v>5372</v>
      </c>
      <c r="D234" s="30">
        <v>23.83</v>
      </c>
      <c r="E234" s="31" t="s">
        <v>83</v>
      </c>
      <c r="F234" s="32"/>
      <c r="G234" s="18">
        <f t="shared" si="7"/>
        <v>0</v>
      </c>
      <c r="H234" s="18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ht="12.75" outlineLevel="4">
      <c r="A235"/>
      <c r="B235" s="28" t="s">
        <v>162</v>
      </c>
      <c r="C235" s="29">
        <v>12071</v>
      </c>
      <c r="D235" s="30">
        <v>25.98</v>
      </c>
      <c r="E235" s="31" t="s">
        <v>83</v>
      </c>
      <c r="F235" s="32"/>
      <c r="G235" s="18">
        <f t="shared" si="7"/>
        <v>0</v>
      </c>
      <c r="H235" s="18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ht="12.75" outlineLevel="4">
      <c r="A236"/>
      <c r="B236" s="28" t="s">
        <v>163</v>
      </c>
      <c r="C236" s="29">
        <v>12345</v>
      </c>
      <c r="D236" s="30">
        <v>50.89</v>
      </c>
      <c r="E236" s="31" t="s">
        <v>83</v>
      </c>
      <c r="F236" s="32"/>
      <c r="G236" s="18">
        <f t="shared" si="7"/>
        <v>0</v>
      </c>
      <c r="H236" s="18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ht="12.75" outlineLevel="4">
      <c r="A237"/>
      <c r="B237" s="28" t="s">
        <v>164</v>
      </c>
      <c r="C237" s="29">
        <v>11860</v>
      </c>
      <c r="D237" s="30">
        <v>20.08</v>
      </c>
      <c r="E237" s="31" t="s">
        <v>83</v>
      </c>
      <c r="F237" s="32"/>
      <c r="G237" s="18">
        <f t="shared" si="7"/>
        <v>0</v>
      </c>
      <c r="H237" s="18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ht="12.75" outlineLevel="4">
      <c r="A238"/>
      <c r="B238" s="28" t="s">
        <v>165</v>
      </c>
      <c r="C238" s="29">
        <v>11951</v>
      </c>
      <c r="D238" s="30">
        <v>79.03</v>
      </c>
      <c r="E238" s="31" t="s">
        <v>83</v>
      </c>
      <c r="F238" s="32"/>
      <c r="G238" s="18">
        <f t="shared" si="7"/>
        <v>0</v>
      </c>
      <c r="H238" s="1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ht="12.75" outlineLevel="4">
      <c r="A239"/>
      <c r="B239" s="28" t="s">
        <v>166</v>
      </c>
      <c r="C239" s="29">
        <v>12038</v>
      </c>
      <c r="D239" s="30">
        <v>44.62</v>
      </c>
      <c r="E239" s="31" t="s">
        <v>83</v>
      </c>
      <c r="F239" s="32"/>
      <c r="G239" s="18">
        <f t="shared" si="7"/>
        <v>0</v>
      </c>
      <c r="H239" s="18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ht="12.75" outlineLevel="4">
      <c r="A240"/>
      <c r="B240" s="28" t="s">
        <v>167</v>
      </c>
      <c r="C240" s="29">
        <v>8398</v>
      </c>
      <c r="D240" s="30">
        <v>22.58</v>
      </c>
      <c r="E240" s="31" t="s">
        <v>83</v>
      </c>
      <c r="F240" s="32"/>
      <c r="G240" s="18">
        <f t="shared" si="7"/>
        <v>0</v>
      </c>
      <c r="H240" s="18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ht="12.75" outlineLevel="4">
      <c r="A241"/>
      <c r="B241" s="28" t="s">
        <v>168</v>
      </c>
      <c r="C241" s="29">
        <v>10292</v>
      </c>
      <c r="D241" s="30">
        <v>52.15</v>
      </c>
      <c r="E241" s="31" t="s">
        <v>83</v>
      </c>
      <c r="F241" s="32"/>
      <c r="G241" s="18">
        <f t="shared" si="7"/>
        <v>0</v>
      </c>
      <c r="H241" s="18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ht="12.75" outlineLevel="4">
      <c r="A242"/>
      <c r="B242" s="28" t="s">
        <v>169</v>
      </c>
      <c r="C242" s="29">
        <v>9020</v>
      </c>
      <c r="D242" s="30">
        <v>19</v>
      </c>
      <c r="E242" s="31" t="s">
        <v>83</v>
      </c>
      <c r="F242" s="32"/>
      <c r="G242" s="18">
        <f t="shared" si="7"/>
        <v>0</v>
      </c>
      <c r="H242" s="18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ht="12.75" outlineLevel="4">
      <c r="A243"/>
      <c r="B243" s="28" t="s">
        <v>170</v>
      </c>
      <c r="C243" s="29">
        <v>8085</v>
      </c>
      <c r="D243" s="30">
        <v>25.98</v>
      </c>
      <c r="E243" s="31" t="s">
        <v>83</v>
      </c>
      <c r="F243" s="32"/>
      <c r="G243" s="18">
        <f t="shared" si="7"/>
        <v>0</v>
      </c>
      <c r="H243" s="18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ht="12.75" outlineLevel="4">
      <c r="A244"/>
      <c r="B244" s="28" t="s">
        <v>171</v>
      </c>
      <c r="C244" s="29">
        <v>11868</v>
      </c>
      <c r="D244" s="30">
        <v>59.14</v>
      </c>
      <c r="E244" s="31" t="s">
        <v>83</v>
      </c>
      <c r="F244" s="32"/>
      <c r="G244" s="18">
        <f t="shared" si="7"/>
        <v>0</v>
      </c>
      <c r="H244" s="18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ht="12.75" outlineLevel="4">
      <c r="A245"/>
      <c r="B245" s="28" t="s">
        <v>172</v>
      </c>
      <c r="C245" s="29">
        <v>11508</v>
      </c>
      <c r="D245" s="30">
        <v>64.69</v>
      </c>
      <c r="E245" s="31" t="s">
        <v>83</v>
      </c>
      <c r="F245" s="32"/>
      <c r="G245" s="18">
        <f t="shared" si="7"/>
        <v>0</v>
      </c>
      <c r="H245" s="18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ht="12.75" outlineLevel="4">
      <c r="A246"/>
      <c r="B246" s="28" t="s">
        <v>173</v>
      </c>
      <c r="C246" s="29">
        <v>7346</v>
      </c>
      <c r="D246" s="30">
        <v>17.74</v>
      </c>
      <c r="E246" s="31" t="s">
        <v>83</v>
      </c>
      <c r="F246" s="32"/>
      <c r="G246" s="18">
        <f t="shared" si="7"/>
        <v>0</v>
      </c>
      <c r="H246" s="18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ht="12.75" outlineLevel="4">
      <c r="A247"/>
      <c r="B247" s="28" t="s">
        <v>174</v>
      </c>
      <c r="C247" s="29">
        <v>5326</v>
      </c>
      <c r="D247" s="30">
        <v>25.98</v>
      </c>
      <c r="E247" s="31" t="s">
        <v>83</v>
      </c>
      <c r="F247" s="32"/>
      <c r="G247" s="18">
        <f t="shared" si="7"/>
        <v>0</v>
      </c>
      <c r="H247" s="18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ht="12.75" outlineLevel="4">
      <c r="A248"/>
      <c r="B248" s="28" t="s">
        <v>175</v>
      </c>
      <c r="C248" s="29">
        <v>12077</v>
      </c>
      <c r="D248" s="30">
        <v>49.1</v>
      </c>
      <c r="E248" s="31" t="s">
        <v>83</v>
      </c>
      <c r="F248" s="32"/>
      <c r="G248" s="18">
        <f t="shared" si="7"/>
        <v>0</v>
      </c>
      <c r="H248" s="1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ht="12.75" outlineLevel="4">
      <c r="A249"/>
      <c r="B249" s="28" t="s">
        <v>176</v>
      </c>
      <c r="C249" s="29">
        <v>6475</v>
      </c>
      <c r="D249" s="30">
        <v>73.47</v>
      </c>
      <c r="E249" s="31" t="s">
        <v>83</v>
      </c>
      <c r="F249" s="32"/>
      <c r="G249" s="18">
        <f t="shared" si="7"/>
        <v>0</v>
      </c>
      <c r="H249" s="18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2.75" outlineLevel="4">
      <c r="A250"/>
      <c r="B250" s="28" t="s">
        <v>177</v>
      </c>
      <c r="C250" s="29">
        <v>11873</v>
      </c>
      <c r="D250" s="30">
        <v>86.73</v>
      </c>
      <c r="E250" s="31" t="s">
        <v>83</v>
      </c>
      <c r="F250" s="32"/>
      <c r="G250" s="18">
        <f t="shared" si="7"/>
        <v>0</v>
      </c>
      <c r="H250" s="18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2.75" outlineLevel="4">
      <c r="A251"/>
      <c r="B251" s="28" t="s">
        <v>178</v>
      </c>
      <c r="C251" s="29">
        <v>12080</v>
      </c>
      <c r="D251" s="30">
        <v>16.66</v>
      </c>
      <c r="E251" s="31" t="s">
        <v>83</v>
      </c>
      <c r="F251" s="32"/>
      <c r="G251" s="18">
        <f t="shared" si="7"/>
        <v>0</v>
      </c>
      <c r="H251" s="18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2.75" outlineLevel="4">
      <c r="A252"/>
      <c r="B252" s="28" t="s">
        <v>179</v>
      </c>
      <c r="C252" s="29">
        <v>9062</v>
      </c>
      <c r="D252" s="30">
        <v>34.41</v>
      </c>
      <c r="E252" s="31" t="s">
        <v>83</v>
      </c>
      <c r="F252" s="32"/>
      <c r="G252" s="18">
        <f t="shared" si="7"/>
        <v>0</v>
      </c>
      <c r="H252" s="18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ht="12.75" outlineLevel="4">
      <c r="A253"/>
      <c r="B253" s="28" t="s">
        <v>180</v>
      </c>
      <c r="C253" s="29">
        <v>6504</v>
      </c>
      <c r="D253" s="30">
        <v>15.05</v>
      </c>
      <c r="E253" s="31" t="s">
        <v>83</v>
      </c>
      <c r="F253" s="32"/>
      <c r="G253" s="18">
        <f t="shared" si="7"/>
        <v>0</v>
      </c>
      <c r="H253" s="18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2.75" outlineLevel="4">
      <c r="A254"/>
      <c r="B254" s="28" t="s">
        <v>181</v>
      </c>
      <c r="C254" s="29">
        <v>6487</v>
      </c>
      <c r="D254" s="30">
        <v>20.43</v>
      </c>
      <c r="E254" s="31" t="s">
        <v>83</v>
      </c>
      <c r="F254" s="32"/>
      <c r="G254" s="18">
        <f t="shared" si="7"/>
        <v>0</v>
      </c>
      <c r="H254" s="18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12.75" outlineLevel="4">
      <c r="A255"/>
      <c r="B255" s="28" t="s">
        <v>182</v>
      </c>
      <c r="C255" s="29">
        <v>10989</v>
      </c>
      <c r="D255" s="30">
        <v>26.7</v>
      </c>
      <c r="E255" s="31" t="s">
        <v>83</v>
      </c>
      <c r="F255" s="32"/>
      <c r="G255" s="18">
        <f t="shared" si="7"/>
        <v>0</v>
      </c>
      <c r="H255" s="18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ht="12.75" outlineLevel="4">
      <c r="A256"/>
      <c r="B256" s="28" t="s">
        <v>183</v>
      </c>
      <c r="C256" s="29">
        <v>12082</v>
      </c>
      <c r="D256" s="30">
        <v>38.71</v>
      </c>
      <c r="E256" s="31" t="s">
        <v>83</v>
      </c>
      <c r="F256" s="32"/>
      <c r="G256" s="18">
        <f t="shared" si="7"/>
        <v>0</v>
      </c>
      <c r="H256" s="18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ht="12.75" outlineLevel="4">
      <c r="A257"/>
      <c r="B257" s="28" t="s">
        <v>184</v>
      </c>
      <c r="C257" s="29">
        <v>11564</v>
      </c>
      <c r="D257" s="30">
        <v>65.59</v>
      </c>
      <c r="E257" s="31" t="s">
        <v>83</v>
      </c>
      <c r="F257" s="32"/>
      <c r="G257" s="18">
        <f t="shared" si="7"/>
        <v>0</v>
      </c>
      <c r="H257" s="18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ht="12.75" outlineLevel="4">
      <c r="A258"/>
      <c r="B258" s="28" t="s">
        <v>185</v>
      </c>
      <c r="C258" s="29">
        <v>11011</v>
      </c>
      <c r="D258" s="30">
        <v>30.46</v>
      </c>
      <c r="E258" s="31" t="s">
        <v>83</v>
      </c>
      <c r="F258" s="32"/>
      <c r="G258" s="18">
        <f t="shared" si="7"/>
        <v>0</v>
      </c>
      <c r="H258" s="1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ht="12.75" outlineLevel="4">
      <c r="A259"/>
      <c r="B259" s="28" t="s">
        <v>186</v>
      </c>
      <c r="C259" s="29">
        <v>7612</v>
      </c>
      <c r="D259" s="30">
        <v>25.98</v>
      </c>
      <c r="E259" s="31" t="s">
        <v>83</v>
      </c>
      <c r="F259" s="32"/>
      <c r="G259" s="18">
        <f t="shared" si="7"/>
        <v>0</v>
      </c>
      <c r="H259" s="18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ht="12.75" outlineLevel="4">
      <c r="A260"/>
      <c r="B260" s="28" t="s">
        <v>187</v>
      </c>
      <c r="C260" s="29">
        <v>11864</v>
      </c>
      <c r="D260" s="30">
        <v>26.7</v>
      </c>
      <c r="E260" s="31" t="s">
        <v>83</v>
      </c>
      <c r="F260" s="32"/>
      <c r="G260" s="18">
        <f t="shared" si="7"/>
        <v>0</v>
      </c>
      <c r="H260" s="18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ht="12.75" outlineLevel="4">
      <c r="A261"/>
      <c r="B261" s="28" t="s">
        <v>188</v>
      </c>
      <c r="C261" s="29">
        <v>12040</v>
      </c>
      <c r="D261" s="30">
        <v>33.87</v>
      </c>
      <c r="E261" s="31" t="s">
        <v>83</v>
      </c>
      <c r="F261" s="32"/>
      <c r="G261" s="18">
        <f t="shared" si="7"/>
        <v>0</v>
      </c>
      <c r="H261" s="18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ht="12.75" outlineLevel="4">
      <c r="A262"/>
      <c r="B262" s="28" t="s">
        <v>189</v>
      </c>
      <c r="C262" s="29">
        <v>11865</v>
      </c>
      <c r="D262" s="30">
        <v>21.14</v>
      </c>
      <c r="E262" s="31" t="s">
        <v>83</v>
      </c>
      <c r="F262" s="32"/>
      <c r="G262" s="18">
        <f t="shared" si="7"/>
        <v>0</v>
      </c>
      <c r="H262" s="18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ht="12.75" outlineLevel="4">
      <c r="A263"/>
      <c r="B263" s="28" t="s">
        <v>190</v>
      </c>
      <c r="C263" s="29">
        <v>12336</v>
      </c>
      <c r="D263" s="30">
        <v>21.14</v>
      </c>
      <c r="E263" s="31" t="s">
        <v>83</v>
      </c>
      <c r="F263" s="32"/>
      <c r="G263" s="18">
        <f t="shared" si="7"/>
        <v>0</v>
      </c>
      <c r="H263" s="18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ht="12.75" outlineLevel="4">
      <c r="A264"/>
      <c r="B264" s="28" t="s">
        <v>191</v>
      </c>
      <c r="C264" s="29">
        <v>10992</v>
      </c>
      <c r="D264" s="30">
        <v>21.14</v>
      </c>
      <c r="E264" s="31" t="s">
        <v>83</v>
      </c>
      <c r="F264" s="32"/>
      <c r="G264" s="18">
        <f t="shared" si="7"/>
        <v>0</v>
      </c>
      <c r="H264" s="18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ht="12.75" outlineLevel="4">
      <c r="A265"/>
      <c r="B265" s="28" t="s">
        <v>192</v>
      </c>
      <c r="C265" s="29">
        <v>6800</v>
      </c>
      <c r="D265" s="30">
        <v>20.08</v>
      </c>
      <c r="E265" s="31" t="s">
        <v>83</v>
      </c>
      <c r="F265" s="32"/>
      <c r="G265" s="18">
        <f t="shared" si="7"/>
        <v>0</v>
      </c>
      <c r="H265" s="18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ht="12.75" outlineLevel="4">
      <c r="A266"/>
      <c r="B266" s="28" t="s">
        <v>193</v>
      </c>
      <c r="C266" s="29">
        <v>12645</v>
      </c>
      <c r="D266" s="30">
        <v>39.79</v>
      </c>
      <c r="E266" s="31" t="s">
        <v>83</v>
      </c>
      <c r="F266" s="32"/>
      <c r="G266" s="18">
        <f t="shared" si="7"/>
        <v>0</v>
      </c>
      <c r="H266" s="18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ht="12.75" outlineLevel="4">
      <c r="A267"/>
      <c r="B267" s="28" t="s">
        <v>194</v>
      </c>
      <c r="C267" s="29">
        <v>6792</v>
      </c>
      <c r="D267" s="30">
        <v>32.62</v>
      </c>
      <c r="E267" s="31" t="s">
        <v>83</v>
      </c>
      <c r="F267" s="32"/>
      <c r="G267" s="18">
        <f t="shared" si="7"/>
        <v>0</v>
      </c>
      <c r="H267" s="18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ht="12.75" outlineLevel="4">
      <c r="A268"/>
      <c r="B268" s="28" t="s">
        <v>195</v>
      </c>
      <c r="C268" s="29">
        <v>11792</v>
      </c>
      <c r="D268" s="30">
        <v>34.41</v>
      </c>
      <c r="E268" s="31" t="s">
        <v>83</v>
      </c>
      <c r="F268" s="32"/>
      <c r="G268" s="18">
        <f t="shared" si="7"/>
        <v>0</v>
      </c>
      <c r="H268" s="1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ht="12.75" outlineLevel="4">
      <c r="A269"/>
      <c r="B269" s="28" t="s">
        <v>196</v>
      </c>
      <c r="C269" s="29">
        <v>11861</v>
      </c>
      <c r="D269" s="30">
        <v>35.66</v>
      </c>
      <c r="E269" s="31" t="s">
        <v>83</v>
      </c>
      <c r="F269" s="32"/>
      <c r="G269" s="18">
        <f t="shared" si="7"/>
        <v>0</v>
      </c>
      <c r="H269" s="18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ht="12.75" outlineLevel="4">
      <c r="A270"/>
      <c r="B270" s="28" t="s">
        <v>197</v>
      </c>
      <c r="C270" s="29">
        <v>7213</v>
      </c>
      <c r="D270" s="30">
        <v>23.48</v>
      </c>
      <c r="E270" s="31" t="s">
        <v>83</v>
      </c>
      <c r="F270" s="32"/>
      <c r="G270" s="18">
        <f t="shared" si="7"/>
        <v>0</v>
      </c>
      <c r="H270" s="18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ht="12.75" outlineLevel="4">
      <c r="A271"/>
      <c r="B271" s="28" t="s">
        <v>198</v>
      </c>
      <c r="C271" s="29">
        <v>11903</v>
      </c>
      <c r="D271" s="30">
        <v>40.14</v>
      </c>
      <c r="E271" s="31" t="s">
        <v>83</v>
      </c>
      <c r="F271" s="32"/>
      <c r="G271" s="18">
        <f t="shared" si="7"/>
        <v>0</v>
      </c>
      <c r="H271" s="18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ht="12.75" outlineLevel="4">
      <c r="A272"/>
      <c r="B272" s="28" t="s">
        <v>199</v>
      </c>
      <c r="C272" s="29">
        <v>12028</v>
      </c>
      <c r="D272" s="30">
        <v>50.54</v>
      </c>
      <c r="E272" s="31" t="s">
        <v>83</v>
      </c>
      <c r="F272" s="32"/>
      <c r="G272" s="18">
        <f t="shared" si="7"/>
        <v>0</v>
      </c>
      <c r="H272" s="18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ht="12.75" outlineLevel="4">
      <c r="A273"/>
      <c r="B273" s="28" t="s">
        <v>200</v>
      </c>
      <c r="C273" s="29">
        <v>10311</v>
      </c>
      <c r="D273" s="30">
        <v>23.83</v>
      </c>
      <c r="E273" s="31" t="s">
        <v>83</v>
      </c>
      <c r="F273" s="32"/>
      <c r="G273" s="18">
        <f t="shared" si="7"/>
        <v>0</v>
      </c>
      <c r="H273" s="18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ht="12.75" outlineLevel="4">
      <c r="A274"/>
      <c r="B274" s="28" t="s">
        <v>201</v>
      </c>
      <c r="C274" s="29">
        <v>11566</v>
      </c>
      <c r="D274" s="30">
        <v>31.54</v>
      </c>
      <c r="E274" s="31" t="s">
        <v>83</v>
      </c>
      <c r="F274" s="32"/>
      <c r="G274" s="18">
        <f t="shared" si="7"/>
        <v>0</v>
      </c>
      <c r="H274" s="18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ht="12.75" outlineLevel="4">
      <c r="A275"/>
      <c r="B275" s="28" t="s">
        <v>202</v>
      </c>
      <c r="C275" s="29">
        <v>12562</v>
      </c>
      <c r="D275" s="30">
        <v>71.15</v>
      </c>
      <c r="E275" s="31" t="s">
        <v>83</v>
      </c>
      <c r="F275" s="32"/>
      <c r="G275" s="18">
        <f t="shared" si="7"/>
        <v>0</v>
      </c>
      <c r="H275" s="18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ht="12.75" outlineLevel="4">
      <c r="A276"/>
      <c r="B276" s="28" t="s">
        <v>203</v>
      </c>
      <c r="C276" s="29">
        <v>7614</v>
      </c>
      <c r="D276" s="30">
        <v>24.56</v>
      </c>
      <c r="E276" s="31" t="s">
        <v>83</v>
      </c>
      <c r="F276" s="32"/>
      <c r="G276" s="18">
        <f t="shared" si="7"/>
        <v>0</v>
      </c>
      <c r="H276" s="18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ht="12.75" outlineLevel="4">
      <c r="A277"/>
      <c r="B277" s="28" t="s">
        <v>204</v>
      </c>
      <c r="C277" s="29">
        <v>12647</v>
      </c>
      <c r="D277" s="30">
        <v>82.25</v>
      </c>
      <c r="E277" s="31" t="s">
        <v>83</v>
      </c>
      <c r="F277" s="32"/>
      <c r="G277" s="18">
        <f t="shared" si="7"/>
        <v>0</v>
      </c>
      <c r="H277" s="18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2.75" outlineLevel="4">
      <c r="A278"/>
      <c r="B278" s="28" t="s">
        <v>205</v>
      </c>
      <c r="C278" s="29">
        <v>10316</v>
      </c>
      <c r="D278" s="30">
        <v>56.45</v>
      </c>
      <c r="E278" s="31" t="s">
        <v>83</v>
      </c>
      <c r="F278" s="32"/>
      <c r="G278" s="18">
        <f t="shared" si="7"/>
        <v>0</v>
      </c>
      <c r="H278" s="1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ht="12.75" outlineLevel="4">
      <c r="A279"/>
      <c r="B279" s="28" t="s">
        <v>206</v>
      </c>
      <c r="C279" s="29">
        <v>12646</v>
      </c>
      <c r="D279" s="30">
        <v>76.69</v>
      </c>
      <c r="E279" s="31" t="s">
        <v>83</v>
      </c>
      <c r="F279" s="32"/>
      <c r="G279" s="18">
        <f t="shared" si="7"/>
        <v>0</v>
      </c>
      <c r="H279" s="18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ht="12.75" outlineLevel="4">
      <c r="A280"/>
      <c r="B280" s="28" t="s">
        <v>207</v>
      </c>
      <c r="C280" s="29">
        <v>7619</v>
      </c>
      <c r="D280" s="30">
        <v>73.47</v>
      </c>
      <c r="E280" s="31" t="s">
        <v>83</v>
      </c>
      <c r="F280" s="32"/>
      <c r="G280" s="18">
        <f t="shared" si="7"/>
        <v>0</v>
      </c>
      <c r="H280" s="18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ht="22.5" outlineLevel="4">
      <c r="A281"/>
      <c r="B281" s="28" t="s">
        <v>208</v>
      </c>
      <c r="C281" s="29">
        <v>8577</v>
      </c>
      <c r="D281" s="30">
        <v>39.42</v>
      </c>
      <c r="E281" s="31" t="s">
        <v>83</v>
      </c>
      <c r="F281" s="32"/>
      <c r="G281" s="18">
        <f t="shared" si="7"/>
        <v>0</v>
      </c>
      <c r="H281" s="18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ht="12.75" outlineLevel="4">
      <c r="A282"/>
      <c r="B282" s="28" t="s">
        <v>209</v>
      </c>
      <c r="C282" s="29">
        <v>8256</v>
      </c>
      <c r="D282" s="30">
        <v>31.18</v>
      </c>
      <c r="E282" s="31" t="s">
        <v>83</v>
      </c>
      <c r="F282" s="32"/>
      <c r="G282" s="18">
        <f t="shared" si="7"/>
        <v>0</v>
      </c>
      <c r="H282" s="18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ht="12.75" outlineLevel="4">
      <c r="A283"/>
      <c r="B283" s="28" t="s">
        <v>210</v>
      </c>
      <c r="C283" s="29">
        <v>6116</v>
      </c>
      <c r="D283" s="30">
        <v>32.62</v>
      </c>
      <c r="E283" s="31" t="s">
        <v>83</v>
      </c>
      <c r="F283" s="32"/>
      <c r="G283" s="18">
        <f t="shared" si="7"/>
        <v>0</v>
      </c>
      <c r="H283" s="18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ht="12.75" outlineLevel="4">
      <c r="A284"/>
      <c r="B284" s="28" t="s">
        <v>211</v>
      </c>
      <c r="C284" s="29">
        <v>11777</v>
      </c>
      <c r="D284" s="30">
        <v>24.37</v>
      </c>
      <c r="E284" s="31" t="s">
        <v>83</v>
      </c>
      <c r="F284" s="32"/>
      <c r="G284" s="18">
        <f t="shared" si="7"/>
        <v>0</v>
      </c>
      <c r="H284" s="18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ht="12.75" outlineLevel="4">
      <c r="A285"/>
      <c r="B285" s="28" t="s">
        <v>212</v>
      </c>
      <c r="C285" s="29">
        <v>6798</v>
      </c>
      <c r="D285" s="30">
        <v>35.66</v>
      </c>
      <c r="E285" s="31" t="s">
        <v>83</v>
      </c>
      <c r="F285" s="32"/>
      <c r="G285" s="18">
        <f t="shared" si="7"/>
        <v>0</v>
      </c>
      <c r="H285" s="18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ht="12.75" outlineLevel="4">
      <c r="A286"/>
      <c r="B286" s="28" t="s">
        <v>213</v>
      </c>
      <c r="C286" s="29">
        <v>7146</v>
      </c>
      <c r="D286" s="30">
        <v>28.31</v>
      </c>
      <c r="E286" s="31" t="s">
        <v>83</v>
      </c>
      <c r="F286" s="32"/>
      <c r="G286" s="18">
        <f t="shared" si="7"/>
        <v>0</v>
      </c>
      <c r="H286" s="18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ht="12.75" outlineLevel="4">
      <c r="A287"/>
      <c r="B287" s="28" t="s">
        <v>214</v>
      </c>
      <c r="C287" s="29">
        <v>11858</v>
      </c>
      <c r="D287" s="30">
        <v>65.59</v>
      </c>
      <c r="E287" s="31" t="s">
        <v>83</v>
      </c>
      <c r="F287" s="32"/>
      <c r="G287" s="18">
        <f t="shared" si="7"/>
        <v>0</v>
      </c>
      <c r="H287" s="18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ht="12.75" outlineLevel="4">
      <c r="A288"/>
      <c r="B288" s="28" t="s">
        <v>215</v>
      </c>
      <c r="C288" s="29">
        <v>11888</v>
      </c>
      <c r="D288" s="30">
        <v>39.06</v>
      </c>
      <c r="E288" s="31" t="s">
        <v>83</v>
      </c>
      <c r="F288" s="32"/>
      <c r="G288" s="18">
        <f t="shared" si="7"/>
        <v>0</v>
      </c>
      <c r="H288" s="1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ht="12.75" outlineLevel="4">
      <c r="A289"/>
      <c r="B289" s="28" t="s">
        <v>216</v>
      </c>
      <c r="C289" s="29">
        <v>11762</v>
      </c>
      <c r="D289" s="30">
        <v>28.31</v>
      </c>
      <c r="E289" s="31" t="s">
        <v>83</v>
      </c>
      <c r="F289" s="32"/>
      <c r="G289" s="18">
        <f t="shared" si="7"/>
        <v>0</v>
      </c>
      <c r="H289" s="18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ht="12.75" outlineLevel="4">
      <c r="A290"/>
      <c r="B290" s="28" t="s">
        <v>217</v>
      </c>
      <c r="C290" s="29">
        <v>11137</v>
      </c>
      <c r="D290" s="30">
        <v>44.27</v>
      </c>
      <c r="E290" s="31" t="s">
        <v>83</v>
      </c>
      <c r="F290" s="32"/>
      <c r="G290" s="18">
        <f t="shared" si="7"/>
        <v>0</v>
      </c>
      <c r="H290" s="18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ht="12.75" outlineLevel="4">
      <c r="A291"/>
      <c r="B291" s="28" t="s">
        <v>218</v>
      </c>
      <c r="C291" s="29">
        <v>6018</v>
      </c>
      <c r="D291" s="30">
        <v>42.29</v>
      </c>
      <c r="E291" s="31" t="s">
        <v>83</v>
      </c>
      <c r="F291" s="32"/>
      <c r="G291" s="18">
        <f t="shared" si="7"/>
        <v>0</v>
      </c>
      <c r="H291" s="18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ht="12.75" outlineLevel="4">
      <c r="A292"/>
      <c r="B292" s="28" t="s">
        <v>219</v>
      </c>
      <c r="C292" s="29">
        <v>5972</v>
      </c>
      <c r="D292" s="30">
        <v>24.91</v>
      </c>
      <c r="E292" s="31" t="s">
        <v>83</v>
      </c>
      <c r="F292" s="32"/>
      <c r="G292" s="18">
        <f t="shared" si="7"/>
        <v>0</v>
      </c>
      <c r="H292" s="18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ht="12.75" outlineLevel="4">
      <c r="A293"/>
      <c r="B293" s="28" t="s">
        <v>220</v>
      </c>
      <c r="C293" s="29">
        <v>11535</v>
      </c>
      <c r="D293" s="30">
        <v>25.98</v>
      </c>
      <c r="E293" s="31" t="s">
        <v>83</v>
      </c>
      <c r="F293" s="32"/>
      <c r="G293" s="18">
        <f t="shared" si="7"/>
        <v>0</v>
      </c>
      <c r="H293" s="18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ht="12.75" outlineLevel="4">
      <c r="A294"/>
      <c r="B294" s="28" t="s">
        <v>221</v>
      </c>
      <c r="C294" s="29">
        <v>12334</v>
      </c>
      <c r="D294" s="30">
        <v>33.87</v>
      </c>
      <c r="E294" s="31" t="s">
        <v>83</v>
      </c>
      <c r="F294" s="32"/>
      <c r="G294" s="18">
        <f t="shared" si="7"/>
        <v>0</v>
      </c>
      <c r="H294" s="18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ht="12.75" outlineLevel="4">
      <c r="A295"/>
      <c r="B295" s="28" t="str">
        <f>HYPERLINK("http://nashsad.ru/images/goods/big/00000009977.jpg","Шехерезада ОТ крас с желт 1шт. 20+")</f>
        <v>Шехерезада ОТ крас с желт 1шт. 20+</v>
      </c>
      <c r="C295" s="29">
        <v>9977</v>
      </c>
      <c r="D295" s="30">
        <v>167.4</v>
      </c>
      <c r="E295" s="31" t="s">
        <v>18</v>
      </c>
      <c r="F295" s="32"/>
      <c r="G295" s="18">
        <f t="shared" si="7"/>
        <v>0</v>
      </c>
      <c r="H295" s="18" t="str">
        <f>HYPERLINK("http://nashsad.ru/images/goods/big/00000009977.jpg","http://nashsad.ru/images/goods/big/00000009977.jpg")</f>
        <v>http://nashsad.ru/images/goods/big/00000009977.jpg</v>
      </c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ht="12.75" outlineLevel="4">
      <c r="A296"/>
      <c r="B296" s="28" t="s">
        <v>222</v>
      </c>
      <c r="C296" s="29">
        <v>7210</v>
      </c>
      <c r="D296" s="30">
        <v>17.74</v>
      </c>
      <c r="E296" s="31" t="s">
        <v>83</v>
      </c>
      <c r="F296" s="32"/>
      <c r="G296" s="18">
        <f t="shared" si="7"/>
        <v>0</v>
      </c>
      <c r="H296" s="18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ht="12.75" outlineLevel="4">
      <c r="A297"/>
      <c r="B297" s="28" t="s">
        <v>223</v>
      </c>
      <c r="C297" s="29">
        <v>9042</v>
      </c>
      <c r="D297" s="30">
        <v>27.06</v>
      </c>
      <c r="E297" s="31" t="s">
        <v>83</v>
      </c>
      <c r="F297" s="32"/>
      <c r="G297" s="18">
        <f t="shared" si="7"/>
        <v>0</v>
      </c>
      <c r="H297" s="18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ht="12.75" outlineLevel="4">
      <c r="A298"/>
      <c r="B298" s="28" t="s">
        <v>224</v>
      </c>
      <c r="C298" s="29">
        <v>7292</v>
      </c>
      <c r="D298" s="30">
        <v>56.45</v>
      </c>
      <c r="E298" s="31" t="s">
        <v>83</v>
      </c>
      <c r="F298" s="32"/>
      <c r="G298" s="18">
        <f t="shared" si="7"/>
        <v>0</v>
      </c>
      <c r="H298" s="1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ht="12.75" outlineLevel="4">
      <c r="A299"/>
      <c r="B299" s="28" t="s">
        <v>225</v>
      </c>
      <c r="C299" s="29">
        <v>11533</v>
      </c>
      <c r="D299" s="30">
        <v>17.74</v>
      </c>
      <c r="E299" s="31" t="s">
        <v>83</v>
      </c>
      <c r="F299" s="32"/>
      <c r="G299" s="18">
        <f t="shared" si="7"/>
        <v>0</v>
      </c>
      <c r="H299" s="18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ht="13.5" outlineLevel="3">
      <c r="A300"/>
      <c r="B300" s="25" t="s">
        <v>226</v>
      </c>
      <c r="C300" s="26"/>
      <c r="D300" s="27"/>
      <c r="E300" s="27"/>
      <c r="F300" s="18"/>
      <c r="G300" s="18"/>
      <c r="H300" s="18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ht="12.75" outlineLevel="4">
      <c r="A301"/>
      <c r="B301" s="33" t="s">
        <v>227</v>
      </c>
      <c r="C301" s="33"/>
      <c r="D301" s="34"/>
      <c r="E301" s="34"/>
      <c r="F301" s="18"/>
      <c r="G301" s="18"/>
      <c r="H301" s="18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ht="12.75" outlineLevel="5">
      <c r="A302"/>
      <c r="B302" s="28" t="str">
        <f>HYPERLINK("http://nashsad.ru/images/goods/big/00000008452.jpg","----//----")</f>
        <v>----//----</v>
      </c>
      <c r="C302" s="29">
        <v>8452</v>
      </c>
      <c r="D302" s="30">
        <v>182.8</v>
      </c>
      <c r="E302" s="31" t="s">
        <v>18</v>
      </c>
      <c r="F302" s="32"/>
      <c r="G302" s="18">
        <f aca="true" t="shared" si="8" ref="G302:G303">D302*F302</f>
        <v>0</v>
      </c>
      <c r="H302" s="18" t="str">
        <f>HYPERLINK("http://nashsad.ru/images/goods/big/00000008452.jpg","http://nashsad.ru/images/goods/big/00000008452.jpg")</f>
        <v>http://nashsad.ru/images/goods/big/00000008452.jpg</v>
      </c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ht="12.75" outlineLevel="4">
      <c r="A303"/>
      <c r="B303" s="28" t="str">
        <f>HYPERLINK("http://nashsad.ru/images/goods/big/00000008448.jpg","Боул оф бьюти 1шт.")</f>
        <v>Боул оф бьюти 1шт.</v>
      </c>
      <c r="C303" s="29">
        <v>8448</v>
      </c>
      <c r="D303" s="30">
        <v>255</v>
      </c>
      <c r="E303" s="31" t="s">
        <v>18</v>
      </c>
      <c r="F303" s="32"/>
      <c r="G303" s="18">
        <f t="shared" si="8"/>
        <v>0</v>
      </c>
      <c r="H303" s="18" t="str">
        <f>HYPERLINK("http://nashsad.ru/images/goods/big/00000008448.jpg","http://nashsad.ru/images/goods/big/00000008448.jpg")</f>
        <v>http://nashsad.ru/images/goods/big/00000008448.jpg</v>
      </c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2.75" outlineLevel="4">
      <c r="A304"/>
      <c r="B304" s="33" t="s">
        <v>228</v>
      </c>
      <c r="C304" s="33"/>
      <c r="D304" s="34"/>
      <c r="E304" s="34"/>
      <c r="F304" s="18"/>
      <c r="G304" s="18"/>
      <c r="H304" s="18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2.75" outlineLevel="5">
      <c r="A305"/>
      <c r="B305" s="28" t="s">
        <v>150</v>
      </c>
      <c r="C305" s="29">
        <v>11850</v>
      </c>
      <c r="D305" s="30">
        <v>897</v>
      </c>
      <c r="E305" s="31" t="s">
        <v>18</v>
      </c>
      <c r="F305" s="32"/>
      <c r="G305" s="18">
        <f aca="true" t="shared" si="9" ref="G305:G308">D305*F305</f>
        <v>0</v>
      </c>
      <c r="H305" s="18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2.75" outlineLevel="4">
      <c r="A306"/>
      <c r="B306" s="28" t="s">
        <v>229</v>
      </c>
      <c r="C306" s="29">
        <v>8449</v>
      </c>
      <c r="D306" s="30">
        <v>242.7</v>
      </c>
      <c r="E306" s="31" t="s">
        <v>18</v>
      </c>
      <c r="F306" s="32"/>
      <c r="G306" s="18">
        <f t="shared" si="9"/>
        <v>0</v>
      </c>
      <c r="H306" s="18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2.75" outlineLevel="4">
      <c r="A307"/>
      <c r="B307" s="28" t="s">
        <v>230</v>
      </c>
      <c r="C307" s="29">
        <v>6923</v>
      </c>
      <c r="D307" s="30">
        <v>182.8</v>
      </c>
      <c r="E307" s="31" t="s">
        <v>18</v>
      </c>
      <c r="F307" s="32"/>
      <c r="G307" s="18">
        <f t="shared" si="9"/>
        <v>0</v>
      </c>
      <c r="H307" s="18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2.75" outlineLevel="4">
      <c r="A308"/>
      <c r="B308" s="28" t="str">
        <f>HYPERLINK("http://nashsad.ru/images/goods/big/00000006924.jpg","Сара Бернар 1 шт")</f>
        <v>Сара Бернар 1 шт</v>
      </c>
      <c r="C308" s="29">
        <v>6924</v>
      </c>
      <c r="D308" s="30">
        <v>182.8</v>
      </c>
      <c r="E308" s="31" t="s">
        <v>18</v>
      </c>
      <c r="F308" s="32"/>
      <c r="G308" s="18">
        <f t="shared" si="9"/>
        <v>0</v>
      </c>
      <c r="H308" s="18" t="str">
        <f>HYPERLINK("http://nashsad.ru/images/goods/big/00000006924.jpg","http://nashsad.ru/images/goods/big/00000006924.jpg")</f>
        <v>http://nashsad.ru/images/goods/big/00000006924.jpg</v>
      </c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2.75" outlineLevel="4">
      <c r="A309"/>
      <c r="B309" s="33" t="s">
        <v>231</v>
      </c>
      <c r="C309" s="33"/>
      <c r="D309" s="34"/>
      <c r="E309" s="34"/>
      <c r="F309" s="18"/>
      <c r="G309" s="18"/>
      <c r="H309" s="18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ht="12.75" outlineLevel="5">
      <c r="A310"/>
      <c r="B310" s="28" t="s">
        <v>150</v>
      </c>
      <c r="C310" s="29">
        <v>8451</v>
      </c>
      <c r="D310" s="30">
        <v>182.8</v>
      </c>
      <c r="E310" s="31" t="s">
        <v>18</v>
      </c>
      <c r="F310" s="32"/>
      <c r="G310" s="18">
        <f>D310*F310</f>
        <v>0</v>
      </c>
      <c r="H310" s="18"/>
      <c r="I310"/>
      <c r="J310"/>
      <c r="K310"/>
      <c r="L310"/>
      <c r="M310"/>
      <c r="N310"/>
      <c r="O310"/>
      <c r="P310"/>
      <c r="Q310"/>
      <c r="R310"/>
      <c r="S310"/>
      <c r="T310"/>
    </row>
    <row r="311" spans="6:8" ht="12.75">
      <c r="F311" s="1" t="s">
        <v>232</v>
      </c>
      <c r="G311" s="1">
        <f>SUM(G9:G310)</f>
        <v>0</v>
      </c>
      <c r="H311" s="1" t="s">
        <v>233</v>
      </c>
    </row>
  </sheetData>
  <sheetProtection password="FF11" sheet="1"/>
  <mergeCells count="4">
    <mergeCell ref="B9:B10"/>
    <mergeCell ref="C9:C10"/>
    <mergeCell ref="D9:E9"/>
    <mergeCell ref="F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2019-01-28T11:55:33Z</cp:lastPrinted>
  <dcterms:created xsi:type="dcterms:W3CDTF">2019-01-28T11:55:33Z</dcterms:created>
  <dcterms:modified xsi:type="dcterms:W3CDTF">2019-01-28T11:55:51Z</dcterms:modified>
  <cp:category/>
  <cp:version/>
  <cp:contentType/>
  <cp:contentStatus/>
  <cp:revision>2</cp:revision>
</cp:coreProperties>
</file>